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040" activeTab="1"/>
  </bookViews>
  <sheets>
    <sheet name="Accesorios" sheetId="1" r:id="rId1"/>
    <sheet name="Consumibles" sheetId="2" r:id="rId2"/>
    <sheet name="Aberturas Madera" sheetId="4" r:id="rId3"/>
    <sheet name="OTROS" sheetId="3" r:id="rId4"/>
  </sheets>
  <definedNames>
    <definedName name="_xlnm._FilterDatabase" localSheetId="0" hidden="1">Accesorios!$A$3:$M$95</definedName>
    <definedName name="_xlnm._FilterDatabase" localSheetId="1" hidden="1">Consumibles!$A$3:$Q$61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2"/>
  <c r="L64"/>
  <c r="K64"/>
  <c r="G64"/>
  <c r="M63" l="1"/>
  <c r="L63"/>
  <c r="K63"/>
  <c r="G63"/>
  <c r="M62"/>
  <c r="L62"/>
  <c r="K62"/>
  <c r="G62"/>
  <c r="G59"/>
  <c r="K59"/>
  <c r="L59"/>
  <c r="M59"/>
  <c r="G60"/>
  <c r="M61" l="1"/>
  <c r="L61"/>
  <c r="K61"/>
  <c r="G61"/>
  <c r="M60"/>
  <c r="L60"/>
  <c r="K60"/>
  <c r="G84" i="1"/>
  <c r="L96"/>
  <c r="K96"/>
  <c r="G96"/>
  <c r="L95"/>
  <c r="K95"/>
  <c r="G95"/>
  <c r="G94"/>
  <c r="L16"/>
  <c r="K16"/>
  <c r="M58" i="2"/>
  <c r="G58"/>
  <c r="G92" i="1"/>
  <c r="G26" i="2"/>
  <c r="M26"/>
  <c r="G33"/>
  <c r="L93" i="1"/>
  <c r="K93"/>
  <c r="G93"/>
  <c r="L92"/>
  <c r="K92"/>
  <c r="G5"/>
  <c r="G91"/>
  <c r="G86"/>
  <c r="G36"/>
  <c r="G90"/>
  <c r="G89"/>
  <c r="G88"/>
  <c r="G10"/>
  <c r="G87"/>
  <c r="G13"/>
  <c r="G35"/>
  <c r="G85"/>
  <c r="L85"/>
  <c r="K85"/>
  <c r="G14"/>
  <c r="G11"/>
  <c r="G57" i="2"/>
  <c r="K57"/>
  <c r="L57"/>
  <c r="M57"/>
  <c r="K58"/>
  <c r="L58"/>
  <c r="M56"/>
  <c r="L56"/>
  <c r="K56"/>
  <c r="K45"/>
  <c r="L45"/>
  <c r="M45"/>
  <c r="G55"/>
  <c r="M55"/>
  <c r="L55"/>
  <c r="K55"/>
  <c r="M54"/>
  <c r="L54"/>
  <c r="K54"/>
  <c r="K52"/>
  <c r="L52"/>
  <c r="M52"/>
  <c r="K53"/>
  <c r="L53"/>
  <c r="M53"/>
  <c r="G54"/>
  <c r="G53"/>
  <c r="G52"/>
  <c r="L84" i="1" l="1"/>
  <c r="K84"/>
  <c r="L87"/>
  <c r="K87"/>
  <c r="L88"/>
  <c r="K88"/>
  <c r="L89"/>
  <c r="K89"/>
  <c r="L90"/>
  <c r="K90"/>
  <c r="L86"/>
  <c r="K86"/>
  <c r="L91"/>
  <c r="K91"/>
  <c r="M6" i="4"/>
  <c r="N7"/>
  <c r="M7"/>
  <c r="L7"/>
  <c r="G7"/>
  <c r="N6"/>
  <c r="L6"/>
  <c r="G6"/>
  <c r="G5"/>
  <c r="N4"/>
  <c r="L4"/>
  <c r="M4"/>
  <c r="G4"/>
  <c r="G83" i="1"/>
  <c r="G82"/>
  <c r="G81"/>
  <c r="G80"/>
  <c r="G79"/>
  <c r="L51" i="2"/>
  <c r="K51"/>
  <c r="M51"/>
  <c r="G51"/>
  <c r="G78" i="1"/>
  <c r="G5" i="2"/>
  <c r="G50"/>
  <c r="G48"/>
  <c r="G19"/>
  <c r="G49"/>
  <c r="L77" i="1"/>
  <c r="K77"/>
  <c r="G76"/>
  <c r="G27"/>
  <c r="G26"/>
  <c r="G75"/>
  <c r="G74"/>
  <c r="G71"/>
  <c r="G72"/>
  <c r="G73"/>
  <c r="G47" i="2"/>
  <c r="G46"/>
  <c r="L24"/>
  <c r="M24"/>
  <c r="M25"/>
  <c r="M44"/>
  <c r="L44"/>
  <c r="K44"/>
  <c r="L43"/>
  <c r="M43"/>
  <c r="K43"/>
  <c r="L42"/>
  <c r="M42"/>
  <c r="K42"/>
  <c r="M41"/>
  <c r="K41"/>
  <c r="L41"/>
  <c r="M40"/>
  <c r="L40"/>
  <c r="K40"/>
  <c r="K39"/>
  <c r="L38"/>
  <c r="K38"/>
  <c r="L37"/>
  <c r="K37"/>
  <c r="M36"/>
  <c r="L36"/>
  <c r="M35"/>
  <c r="L35"/>
  <c r="K36"/>
  <c r="K35"/>
  <c r="K25"/>
  <c r="L25"/>
  <c r="M34"/>
  <c r="L34"/>
  <c r="M33"/>
  <c r="L33"/>
  <c r="K33"/>
  <c r="M32"/>
  <c r="L32"/>
  <c r="K32"/>
  <c r="M31"/>
  <c r="L31"/>
  <c r="K31"/>
  <c r="M30"/>
  <c r="L30"/>
  <c r="K30"/>
  <c r="K28"/>
  <c r="K29"/>
  <c r="L29"/>
  <c r="M29"/>
  <c r="L28"/>
  <c r="M28"/>
  <c r="L27"/>
  <c r="M27"/>
  <c r="L26"/>
  <c r="K24"/>
  <c r="K18"/>
  <c r="M23"/>
  <c r="L23"/>
  <c r="K23"/>
  <c r="M22"/>
  <c r="L22"/>
  <c r="K22"/>
  <c r="M21"/>
  <c r="L21"/>
  <c r="K21"/>
  <c r="K20"/>
  <c r="L20"/>
  <c r="M20"/>
  <c r="L73" i="1" l="1"/>
  <c r="K73"/>
  <c r="J73"/>
  <c r="L72"/>
  <c r="K72"/>
  <c r="J72"/>
  <c r="L71"/>
  <c r="K71"/>
  <c r="J71"/>
  <c r="L74"/>
  <c r="K74"/>
  <c r="J74"/>
  <c r="L76"/>
  <c r="K76"/>
  <c r="L78"/>
  <c r="K78"/>
  <c r="J78"/>
  <c r="J79"/>
  <c r="L79"/>
  <c r="K79"/>
  <c r="L80"/>
  <c r="K80"/>
  <c r="J80"/>
  <c r="J81"/>
  <c r="L81"/>
  <c r="K81"/>
  <c r="J82"/>
  <c r="L82"/>
  <c r="K82"/>
  <c r="N5" i="4"/>
  <c r="M5"/>
  <c r="L5"/>
  <c r="M46" i="2"/>
  <c r="L46"/>
  <c r="M47"/>
  <c r="L47"/>
  <c r="K49"/>
  <c r="L49"/>
  <c r="M49"/>
  <c r="L19"/>
  <c r="M19"/>
  <c r="K48"/>
  <c r="L48"/>
  <c r="M48"/>
  <c r="L50"/>
  <c r="M50"/>
  <c r="K50"/>
  <c r="L75" i="1"/>
  <c r="K75"/>
  <c r="J75"/>
  <c r="L65"/>
  <c r="K19" i="2"/>
  <c r="M18"/>
  <c r="L18"/>
  <c r="M17"/>
  <c r="L17"/>
  <c r="K17"/>
  <c r="M16"/>
  <c r="L16"/>
  <c r="L15"/>
  <c r="M14"/>
  <c r="L14"/>
  <c r="K70" i="1"/>
  <c r="L70"/>
  <c r="L69"/>
  <c r="K69"/>
  <c r="L68"/>
  <c r="K68"/>
  <c r="K67"/>
  <c r="L67"/>
  <c r="M13" i="2" l="1"/>
  <c r="L13"/>
  <c r="K66" i="1"/>
  <c r="L66"/>
  <c r="K12" i="2"/>
  <c r="L12"/>
  <c r="M12"/>
  <c r="K65" i="1"/>
  <c r="L64"/>
  <c r="K64"/>
  <c r="L63"/>
  <c r="K63"/>
  <c r="L62"/>
  <c r="K62"/>
  <c r="L61"/>
  <c r="K61"/>
  <c r="L60"/>
  <c r="K60"/>
  <c r="L59"/>
  <c r="K59"/>
  <c r="L58"/>
  <c r="K58"/>
  <c r="L57"/>
  <c r="K57"/>
  <c r="L56"/>
  <c r="K56"/>
  <c r="L55"/>
  <c r="K55"/>
  <c r="L54"/>
  <c r="K54"/>
  <c r="L53"/>
  <c r="K53"/>
  <c r="L52"/>
  <c r="K52"/>
  <c r="L51"/>
  <c r="K51"/>
  <c r="L50"/>
  <c r="K50"/>
  <c r="J56"/>
  <c r="K49"/>
  <c r="L49"/>
  <c r="L48"/>
  <c r="K48"/>
  <c r="L47"/>
  <c r="K47"/>
  <c r="K11" i="2"/>
  <c r="L11"/>
  <c r="M11"/>
  <c r="L46" i="1"/>
  <c r="K46"/>
  <c r="L45"/>
  <c r="K45"/>
  <c r="M10" i="2"/>
  <c r="L10"/>
  <c r="K10"/>
  <c r="M9"/>
  <c r="L9"/>
  <c r="K9"/>
  <c r="K44" i="1"/>
  <c r="L44"/>
  <c r="K43"/>
  <c r="L43"/>
  <c r="M8" i="2"/>
  <c r="L8"/>
  <c r="K8"/>
  <c r="M7" l="1"/>
  <c r="M6"/>
  <c r="M5"/>
  <c r="L7"/>
  <c r="L6"/>
  <c r="L5"/>
  <c r="L4"/>
  <c r="K7"/>
  <c r="K6"/>
  <c r="K5"/>
  <c r="K4"/>
  <c r="K42" i="1"/>
  <c r="L42"/>
  <c r="K41" l="1"/>
  <c r="L41"/>
  <c r="J17"/>
  <c r="L40"/>
  <c r="K40"/>
  <c r="L39"/>
  <c r="K39"/>
  <c r="L38"/>
  <c r="K38"/>
  <c r="L37"/>
  <c r="K37"/>
  <c r="L36"/>
  <c r="K36"/>
  <c r="L35"/>
  <c r="K35"/>
  <c r="L34"/>
  <c r="K34"/>
  <c r="K33"/>
  <c r="L33"/>
  <c r="K32"/>
  <c r="L32"/>
  <c r="K31"/>
  <c r="L31"/>
  <c r="L30"/>
  <c r="K30"/>
  <c r="L29"/>
  <c r="K29"/>
  <c r="L28"/>
  <c r="L27"/>
  <c r="L26"/>
  <c r="L25"/>
  <c r="L24"/>
  <c r="L23"/>
  <c r="L22"/>
  <c r="L21"/>
  <c r="L20"/>
  <c r="L19"/>
  <c r="L18"/>
  <c r="L17"/>
  <c r="L15"/>
  <c r="L14"/>
  <c r="L13"/>
  <c r="L12"/>
  <c r="L11"/>
  <c r="L10"/>
  <c r="L8"/>
  <c r="L7"/>
  <c r="L6"/>
  <c r="L5"/>
  <c r="L4"/>
  <c r="K28"/>
  <c r="K27" l="1"/>
  <c r="K26"/>
  <c r="K25"/>
  <c r="K24"/>
  <c r="K23"/>
  <c r="K22"/>
  <c r="K21"/>
  <c r="K20"/>
  <c r="K19"/>
  <c r="K18"/>
  <c r="K17"/>
  <c r="K15"/>
  <c r="K14"/>
  <c r="K13"/>
  <c r="K12"/>
  <c r="K11"/>
  <c r="K10"/>
  <c r="K9"/>
  <c r="K8"/>
  <c r="K7"/>
  <c r="K6"/>
  <c r="K5"/>
  <c r="K4"/>
</calcChain>
</file>

<file path=xl/comments1.xml><?xml version="1.0" encoding="utf-8"?>
<comments xmlns="http://schemas.openxmlformats.org/spreadsheetml/2006/main">
  <authors>
    <author>DyK</author>
  </authors>
  <commentList>
    <comment ref="G46" authorId="0">
      <text>
        <r>
          <rPr>
            <b/>
            <sz val="9"/>
            <color indexed="81"/>
            <rFont val="Tahoma"/>
            <family val="2"/>
          </rPr>
          <t>DyK:</t>
        </r>
        <r>
          <rPr>
            <sz val="9"/>
            <color indexed="81"/>
            <rFont val="Tahoma"/>
            <family val="2"/>
          </rPr>
          <t xml:space="preserve">
Unidad Par
</t>
        </r>
      </text>
    </comment>
  </commentList>
</comments>
</file>

<file path=xl/comments2.xml><?xml version="1.0" encoding="utf-8"?>
<comments xmlns="http://schemas.openxmlformats.org/spreadsheetml/2006/main">
  <authors>
    <author>DyK</author>
    <author>Diego Silva Tealde</author>
  </authors>
  <commentList>
    <comment ref="M4" authorId="0">
      <text>
        <r>
          <rPr>
            <b/>
            <sz val="9"/>
            <color indexed="81"/>
            <rFont val="Tahoma"/>
            <family val="2"/>
          </rPr>
          <t>DyK:</t>
        </r>
        <r>
          <rPr>
            <sz val="9"/>
            <color indexed="81"/>
            <rFont val="Tahoma"/>
            <family val="2"/>
          </rPr>
          <t xml:space="preserve">
Utilidad 1,3. Pero en este caso es costo Abasur sin descuento de oferta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DyK: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5" authorId="1">
      <text>
        <r>
          <rPr>
            <b/>
            <sz val="9"/>
            <color indexed="81"/>
            <rFont val="Tahoma"/>
            <family val="2"/>
          </rPr>
          <t>Diego Silva Tealde:</t>
        </r>
        <r>
          <rPr>
            <sz val="9"/>
            <color indexed="81"/>
            <rFont val="Tahoma"/>
            <family val="2"/>
          </rPr>
          <t xml:space="preserve">
COMPRAR ESTA
</t>
        </r>
      </text>
    </comment>
    <comment ref="C26" authorId="1">
      <text>
        <r>
          <rPr>
            <b/>
            <sz val="9"/>
            <color indexed="81"/>
            <rFont val="Tahoma"/>
            <family val="2"/>
          </rPr>
          <t>Diego Silva Tealde:</t>
        </r>
        <r>
          <rPr>
            <sz val="9"/>
            <color indexed="81"/>
            <rFont val="Tahoma"/>
            <family val="2"/>
          </rPr>
          <t xml:space="preserve">
Comprar la otra</t>
        </r>
      </text>
    </comment>
  </commentList>
</comments>
</file>

<file path=xl/comments3.xml><?xml version="1.0" encoding="utf-8"?>
<comments xmlns="http://schemas.openxmlformats.org/spreadsheetml/2006/main">
  <authors>
    <author>DyK</author>
  </authors>
  <commentList>
    <comment ref="M4" authorId="0">
      <text>
        <r>
          <rPr>
            <b/>
            <sz val="9"/>
            <color indexed="81"/>
            <rFont val="Tahoma"/>
            <family val="2"/>
          </rPr>
          <t>DyK:</t>
        </r>
        <r>
          <rPr>
            <sz val="9"/>
            <color indexed="81"/>
            <rFont val="Tahoma"/>
            <family val="2"/>
          </rPr>
          <t xml:space="preserve">
Utilidad 1,3. Pero en este caso es costo Abasur sin descuento de oferta</t>
        </r>
      </text>
    </comment>
    <comment ref="M5" authorId="0">
      <text>
        <r>
          <rPr>
            <b/>
            <sz val="9"/>
            <color indexed="81"/>
            <rFont val="Tahoma"/>
            <family val="2"/>
          </rPr>
          <t>DyK:</t>
        </r>
        <r>
          <rPr>
            <sz val="9"/>
            <color indexed="81"/>
            <rFont val="Tahoma"/>
            <family val="2"/>
          </rPr>
          <t xml:space="preserve">
Utilidad 1,3. Pero en este caso es costo Abasur sin descuento de oferta</t>
        </r>
      </text>
    </comment>
    <comment ref="M6" authorId="0">
      <text>
        <r>
          <rPr>
            <b/>
            <sz val="9"/>
            <color indexed="81"/>
            <rFont val="Tahoma"/>
            <family val="2"/>
          </rPr>
          <t>DyK:</t>
        </r>
        <r>
          <rPr>
            <sz val="9"/>
            <color indexed="81"/>
            <rFont val="Tahoma"/>
            <family val="2"/>
          </rPr>
          <t xml:space="preserve">
Utilidad 1,3. Pero en este caso es costo Abasur sin descuento de oferta</t>
        </r>
      </text>
    </comment>
    <comment ref="M7" authorId="0">
      <text>
        <r>
          <rPr>
            <b/>
            <sz val="9"/>
            <color indexed="81"/>
            <rFont val="Tahoma"/>
            <family val="2"/>
          </rPr>
          <t>DyK:</t>
        </r>
        <r>
          <rPr>
            <sz val="9"/>
            <color indexed="81"/>
            <rFont val="Tahoma"/>
            <family val="2"/>
          </rPr>
          <t xml:space="preserve">
Utilidad 1,3. Pero en este caso es costo Abasur sin descuento de oferta</t>
        </r>
      </text>
    </comment>
    <comment ref="E10" authorId="0">
      <text>
        <r>
          <rPr>
            <b/>
            <sz val="9"/>
            <color indexed="81"/>
            <rFont val="Tahoma"/>
            <family val="2"/>
          </rPr>
          <t>DyK: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<sst xmlns="http://schemas.openxmlformats.org/spreadsheetml/2006/main" count="759" uniqueCount="320">
  <si>
    <t>LISTADO DE ACCESORIOS</t>
  </si>
  <si>
    <t>Accesorio</t>
  </si>
  <si>
    <t>Serie</t>
  </si>
  <si>
    <t>Costo (Iva Incl)</t>
  </si>
  <si>
    <t>Cantidad x Paquete</t>
  </si>
  <si>
    <t>Precio x Paquete</t>
  </si>
  <si>
    <t>Burlete</t>
  </si>
  <si>
    <t>Cubetas Grandes</t>
  </si>
  <si>
    <t>Cubetas Chicas</t>
  </si>
  <si>
    <t>Cierre Inyección</t>
  </si>
  <si>
    <t>Dispositivos Sin Felpillar</t>
  </si>
  <si>
    <t>Dispositivos Felpillados</t>
  </si>
  <si>
    <t>Cubre Desagüe</t>
  </si>
  <si>
    <t>S20</t>
  </si>
  <si>
    <t>425 Metros</t>
  </si>
  <si>
    <t>67 Metros</t>
  </si>
  <si>
    <t>500 Unidades</t>
  </si>
  <si>
    <t>50 Unidades</t>
  </si>
  <si>
    <t>Tasa Cambio</t>
  </si>
  <si>
    <t>Remaches</t>
  </si>
  <si>
    <t>S25</t>
  </si>
  <si>
    <t>S20/ S25</t>
  </si>
  <si>
    <t>Ruedas c/ Ruleman</t>
  </si>
  <si>
    <t>Precio x Unidad Mayorista</t>
  </si>
  <si>
    <t>Publico</t>
  </si>
  <si>
    <t>S30</t>
  </si>
  <si>
    <t>Cerradura Pico Loro</t>
  </si>
  <si>
    <t>Pomela Negra</t>
  </si>
  <si>
    <t>Pomela Blanca</t>
  </si>
  <si>
    <t>Tela Mosquitero</t>
  </si>
  <si>
    <t>S20/S25/S30</t>
  </si>
  <si>
    <t>Cuña</t>
  </si>
  <si>
    <t>4 Unidades</t>
  </si>
  <si>
    <t>30 Unidades</t>
  </si>
  <si>
    <t>9 Unidades</t>
  </si>
  <si>
    <t>50 Metros</t>
  </si>
  <si>
    <t>Pomela AGG 1516</t>
  </si>
  <si>
    <t>N/A</t>
  </si>
  <si>
    <t>Código</t>
  </si>
  <si>
    <t>Proveedor</t>
  </si>
  <si>
    <t>FEC13N</t>
  </si>
  <si>
    <t>ABASUR</t>
  </si>
  <si>
    <t>Cierre Para Guillotina Negro</t>
  </si>
  <si>
    <t>S20/S30/PROBBA</t>
  </si>
  <si>
    <t>F. Actualización</t>
  </si>
  <si>
    <t>Indice</t>
  </si>
  <si>
    <t>H51S30CVL</t>
  </si>
  <si>
    <t>H50N/2</t>
  </si>
  <si>
    <t>Cerradura Niq. CVL p/S30</t>
  </si>
  <si>
    <t>Manija Económica Negra p CVL</t>
  </si>
  <si>
    <t>S30/PROBBA</t>
  </si>
  <si>
    <t>DC.784 Antihongo C. Acética Incolora</t>
  </si>
  <si>
    <t>Publico x Unidad</t>
  </si>
  <si>
    <t>APL4600</t>
  </si>
  <si>
    <t>ALdelUR</t>
  </si>
  <si>
    <t>PROBBA</t>
  </si>
  <si>
    <t>AUA8084</t>
  </si>
  <si>
    <t>CALCE APOYO DE VIDRIO, 2x50x1000mm</t>
  </si>
  <si>
    <t>Metta/Gala/Gala 66/Mecal estandar/Mecal max/Mecal plus/Probba/</t>
  </si>
  <si>
    <t>1 Metro</t>
  </si>
  <si>
    <t>BISAGRA 2 ALAS "FLASH" VENTANA, BATIENTE</t>
  </si>
  <si>
    <t>AGG1574</t>
  </si>
  <si>
    <t>PROBBA/GALA/GALA CR/SUMA</t>
  </si>
  <si>
    <t>KIT DE CIERRE BIPUNTO, PARA FALLEBA BATIENTE</t>
  </si>
  <si>
    <t>KGG6004</t>
  </si>
  <si>
    <t>AGG1514</t>
  </si>
  <si>
    <t>BISAGRA 3 ALAS "BRIDGE 2", BATIENTE</t>
  </si>
  <si>
    <t>FALLEBA AGG2044 "EURO" BATIENTE</t>
  </si>
  <si>
    <t>AGG2044</t>
  </si>
  <si>
    <t>PBP301</t>
  </si>
  <si>
    <t>Belgrano</t>
  </si>
  <si>
    <t>TAPÓN SERIE 20 MANUAL</t>
  </si>
  <si>
    <t>PBP302</t>
  </si>
  <si>
    <t>TAPÓN SERIE 25 MANUAL</t>
  </si>
  <si>
    <t>PBP405</t>
  </si>
  <si>
    <t>CPB408</t>
  </si>
  <si>
    <t>AUD1000</t>
  </si>
  <si>
    <t>AGG5600</t>
  </si>
  <si>
    <t>TAPON LATERAL DE HERMETICIDAD</t>
  </si>
  <si>
    <t>PATIN DE DESLIZAMIENTO</t>
  </si>
  <si>
    <t>Mosquiteros/Mampara</t>
  </si>
  <si>
    <t>GALA/PROBBA</t>
  </si>
  <si>
    <t>NGU2180</t>
  </si>
  <si>
    <t>KIT DE ENGANCHE P/CIERRE LATERAL, CORREDIZA</t>
  </si>
  <si>
    <t>AGZ3056</t>
  </si>
  <si>
    <t>DISP. DE ESTANQUEIDAD C/FELPILLA C/BARRERA 27 x 88,5mm</t>
  </si>
  <si>
    <t>NUU2506</t>
  </si>
  <si>
    <t>GALA/S25/S25 MAX/S25 PLUS/PROBBA</t>
  </si>
  <si>
    <t>AMT2344</t>
  </si>
  <si>
    <t>CIERRE TIR. "GENOVA" 175mm, C/KIT DE ENGANCHE, CORR.</t>
  </si>
  <si>
    <t>Würth</t>
  </si>
  <si>
    <t>AGT4630</t>
  </si>
  <si>
    <t>ESCUADRA DE ARMADO ACERO INOX</t>
  </si>
  <si>
    <t>GALA</t>
  </si>
  <si>
    <t>AQA6904</t>
  </si>
  <si>
    <t>TIRADOR LATERAL MOSQUITERO</t>
  </si>
  <si>
    <t>APD3516</t>
  </si>
  <si>
    <t>TAPA PERFIL CENTRAL, TOPE PERFIL LATERAL CORREDIZA</t>
  </si>
  <si>
    <t>PROBBA/GALA</t>
  </si>
  <si>
    <t>XBOO2N1</t>
  </si>
  <si>
    <t>PASA</t>
  </si>
  <si>
    <t>Burlete S/25: 5mm (525)</t>
  </si>
  <si>
    <t>XBOO3F</t>
  </si>
  <si>
    <t>Burlete (A286) 625 Ne.Fino AMA 8744</t>
  </si>
  <si>
    <t>Cantidad Venta</t>
  </si>
  <si>
    <t>XF016</t>
  </si>
  <si>
    <t>Fideo (A257) Negro AQA8904</t>
  </si>
  <si>
    <t>Mosquiteros S20 / S25</t>
  </si>
  <si>
    <t>Espuma Espanfix 750 ml c/Canula</t>
  </si>
  <si>
    <t>TORNILLO REMACHE P/MECHA BLANCO 42/2</t>
  </si>
  <si>
    <t>TORNILLO REMACHE P/MECHA BLANCO 4.2</t>
  </si>
  <si>
    <t>APL4610</t>
  </si>
  <si>
    <t>ESCUADRA DE ARMADO 36mm AL NAT</t>
  </si>
  <si>
    <t>ESCUADRA DE ARMADO 56mm AL NAT</t>
  </si>
  <si>
    <t>AGA2944</t>
  </si>
  <si>
    <t>BURLETE P/COLOCACIÓN FRONTAL, P/HUECO 2mm</t>
  </si>
  <si>
    <t>AGT2514</t>
  </si>
  <si>
    <t>BURLETE CUÑA P/COLOCACIÓN DE VIDRIO, P/HUECO 1,5mm</t>
  </si>
  <si>
    <t>AUU3094</t>
  </si>
  <si>
    <t>PROTECTOR DE DESAGÜE CON CLAPETA</t>
  </si>
  <si>
    <t>AGG6004</t>
  </si>
  <si>
    <t>PAR BLOQUE DE CONEXIÓN P/FALLEBA</t>
  </si>
  <si>
    <t>AGS7247</t>
  </si>
  <si>
    <t>FELPILLA C/BARRERA 7,00 X 9,00mm, DENSIDAD DEL TEJIDO 4</t>
  </si>
  <si>
    <t>AGF1000</t>
  </si>
  <si>
    <t>CONJ. RODAMIENTO REGULABLE, C/RUEDA A BOLILLA (20Kg)</t>
  </si>
  <si>
    <t>AGF1010</t>
  </si>
  <si>
    <t>CONJ. RODAMIENTO REGULABLE, C/RUEDA A AGUJA (40Kg)</t>
  </si>
  <si>
    <t>Descripción</t>
  </si>
  <si>
    <t>Nuevo Precio Properfil</t>
  </si>
  <si>
    <t>AB02</t>
  </si>
  <si>
    <t>Doble Guía</t>
  </si>
  <si>
    <t>guía PVC Doble 70 x 30  Blanca x Catalana</t>
  </si>
  <si>
    <t>70040248-51/53-56/703</t>
  </si>
  <si>
    <t>Recojedor (Enrollador Universal x C14)</t>
  </si>
  <si>
    <t>Zócalo Aluminio</t>
  </si>
  <si>
    <t>Guia Inferior</t>
  </si>
  <si>
    <t>Enrollador Kliko 6m</t>
  </si>
  <si>
    <t>Enrollador Kliko 8m</t>
  </si>
  <si>
    <t>BO01</t>
  </si>
  <si>
    <t>Cinta Panel Tradicional 20mm x metro lineal (dto 30% por rollo 50 mts.)</t>
  </si>
  <si>
    <t>Lama Mini x m</t>
  </si>
  <si>
    <t>Eje panel tradicional 60 x m</t>
  </si>
  <si>
    <t>Eje panel tradicional 70 x m</t>
  </si>
  <si>
    <t>PPMINI</t>
  </si>
  <si>
    <t>Panel mini x m²</t>
  </si>
  <si>
    <t>Topes</t>
  </si>
  <si>
    <t>SOPPR</t>
  </si>
  <si>
    <t>Soportes Varios (Vigna / Cojinete / Vigna a Cojinete)</t>
  </si>
  <si>
    <t>0090030430/0090030432</t>
  </si>
  <si>
    <t>Lama Aluminio 55 mm (x metro linéal)</t>
  </si>
  <si>
    <t>PL55</t>
  </si>
  <si>
    <t>Panel Aluminio 55mm (x metro ²)</t>
  </si>
  <si>
    <t>PVERONA</t>
  </si>
  <si>
    <t>Panel Tradicional Verona m²</t>
  </si>
  <si>
    <t>PROPERFIL</t>
  </si>
  <si>
    <t>CORTINAS DE ENROLLAR</t>
  </si>
  <si>
    <t>CBP1040</t>
  </si>
  <si>
    <t>LaURUG.</t>
  </si>
  <si>
    <t>Mosquitero Fibra de Vidrio (x m²)</t>
  </si>
  <si>
    <t>TODAS</t>
  </si>
  <si>
    <t>AGN4520</t>
  </si>
  <si>
    <t>AGT2614</t>
  </si>
  <si>
    <t>BURLETE HERMETICIDAD DOBLE CONTACTO</t>
  </si>
  <si>
    <t>AGU3574</t>
  </si>
  <si>
    <t>NUU2504</t>
  </si>
  <si>
    <t>CIERRE TIRADOR "TEMPO-C" AUT-2POS 158mm, CORR. (BLANCO)</t>
  </si>
  <si>
    <t>CIERRE TIRADOR "TEMPO-C" AUT-2POS 158mm, CORR. (NEGRO)</t>
  </si>
  <si>
    <t>AGN4510</t>
  </si>
  <si>
    <t>ESCUADRA DE TRACCIÓN</t>
  </si>
  <si>
    <t>PUERTA BATIENTE PROBBA</t>
  </si>
  <si>
    <t>MARCO GALA CORREDIZA 45</t>
  </si>
  <si>
    <t>ENROLLADOR GRIS</t>
  </si>
  <si>
    <t>SUY2004</t>
  </si>
  <si>
    <t>SILICONA NEUTRA NEGRA</t>
  </si>
  <si>
    <t>Uruimporta</t>
  </si>
  <si>
    <t>Aplicador de Silicona 9" Cartucho TOYOKI LH-104</t>
  </si>
  <si>
    <t>GUANTE ANTIDESLIZANTE 10" TOYOKI lh-88</t>
  </si>
  <si>
    <t>XB008</t>
  </si>
  <si>
    <t>Burlete (A261) Mamp/Antirruido AUA 8994</t>
  </si>
  <si>
    <t>Mampara</t>
  </si>
  <si>
    <t>RAMASIL</t>
  </si>
  <si>
    <t>SILICONA ACETICA TRANSP. POMO 50 g BLISTER</t>
  </si>
  <si>
    <t>MU981</t>
  </si>
  <si>
    <t>6550-1.2</t>
  </si>
  <si>
    <t>Malla Electrosoldada 10 x 5 x 25 x 1,2</t>
  </si>
  <si>
    <t>6550 -1.5</t>
  </si>
  <si>
    <t>Malla Electrosoldada 10 x 5 x 25 x 1,5</t>
  </si>
  <si>
    <t>6550-1,0</t>
  </si>
  <si>
    <t>Malla Electrosoldada 10 x 5 x 25 x 1,0</t>
  </si>
  <si>
    <t>6550-1,8</t>
  </si>
  <si>
    <t>Malla Electrosoldada 10 x 5 x 25 x 1,8</t>
  </si>
  <si>
    <t>CINTA PAPEL 24MM X 50M SLEEVE</t>
  </si>
  <si>
    <t>CINTA DOBLE FAZ ULTRA FUERTE 12mm x 2 m Blister</t>
  </si>
  <si>
    <t>CINTA DOBLE FAZ ACRÍLICA 19mm x 2 m - FIXA PRO</t>
  </si>
  <si>
    <t>PRECINTOS 3,6 X 350mm (100 UN) BLANCO</t>
  </si>
  <si>
    <t>H11004</t>
  </si>
  <si>
    <t>LENTES SEGUR. ERGONOMICO TRANSPARENTE</t>
  </si>
  <si>
    <t>H4281110</t>
  </si>
  <si>
    <t>ESPATULA DE 1" UNA PIEZA ENTERA</t>
  </si>
  <si>
    <t>H4281120</t>
  </si>
  <si>
    <t>ESPATULA DE 2" UNA PIEZA ENTERA</t>
  </si>
  <si>
    <t>HO1950</t>
  </si>
  <si>
    <t>TRINCHETA METAL PROF. C/REPUESTO</t>
  </si>
  <si>
    <t>HO1951</t>
  </si>
  <si>
    <t>REPUESTO TRINCHETA TRAPECIO 5 PZ</t>
  </si>
  <si>
    <t>REPUESTO TRINCHETA ANCHA 5 PZ</t>
  </si>
  <si>
    <t>PRECINTOS 4,8 X 200 mm (100 UN) BLANCO</t>
  </si>
  <si>
    <t>Precio x Paquete Contado</t>
  </si>
  <si>
    <t>H07003</t>
  </si>
  <si>
    <t>H07005</t>
  </si>
  <si>
    <t>CINTA MÉTRICA DE ACERO 3 MTS MARCA BEST VALUE</t>
  </si>
  <si>
    <t>CINTA MÉTRICA DE ACERO 5 MTS MARCA BEST VALUE</t>
  </si>
  <si>
    <t>BEST VALUE</t>
  </si>
  <si>
    <t>Aplicador de Silicona 9" Cartucho TOYOKI LH-105</t>
  </si>
  <si>
    <t>C17003</t>
  </si>
  <si>
    <t>CANDADO COMBINACION BRONCE 20MM</t>
  </si>
  <si>
    <t>C17014W</t>
  </si>
  <si>
    <t>CANDADO LAMINADO 40mm REVESTIDO</t>
  </si>
  <si>
    <t>GUANTE ANTIDESLIZANTE  TOYOKI LH-2989</t>
  </si>
  <si>
    <t>LENTE DE PROTECCIÓN TRANSPARENTE TOYOKI LH-75</t>
  </si>
  <si>
    <t>LENTE NEGRO DE PROTECCIÓN LH-3176</t>
  </si>
  <si>
    <t>PISTOLA DE CEMENTAR 40W BARRA GRUESA LH-127</t>
  </si>
  <si>
    <t>SILICONA EN BARRA GRUESA PAQUETE LH-2850</t>
  </si>
  <si>
    <t>MU851</t>
  </si>
  <si>
    <t>ESPUMA DE POLIURETANO MULTIUSO 750ML</t>
  </si>
  <si>
    <t>MI</t>
  </si>
  <si>
    <t>33-201-09-010</t>
  </si>
  <si>
    <t>GRAFITO EN SPRAY 200 ML (130 GR) VONDER</t>
  </si>
  <si>
    <t>VONDER</t>
  </si>
  <si>
    <t>27-804-09-005</t>
  </si>
  <si>
    <t>GRASA MULTIUSOS (CHASIS Y ENG. GRAL.) CA-2 X 1KG VONDER</t>
  </si>
  <si>
    <t>27-701-72-030</t>
  </si>
  <si>
    <t>SILICONA ACETICA TRANSPARENTE (24U) 7132 JUNBOND</t>
  </si>
  <si>
    <t>JUNBOND</t>
  </si>
  <si>
    <t>CBP1020/RODX230446</t>
  </si>
  <si>
    <t>Belgrano/Alumex</t>
  </si>
  <si>
    <t>11-602-02-056</t>
  </si>
  <si>
    <t>11-602-02-052</t>
  </si>
  <si>
    <t>11-602-03-058</t>
  </si>
  <si>
    <t xml:space="preserve">#10 x 2" (4,8X 50mm) TORN. AUTORROS. GALV. BINDING 10 X 2" (500) WILLIAM  </t>
  </si>
  <si>
    <t>#10 x 1" (4,8x 25mm)TORN. AUTORROS. GALV. BINDING 10 X 1" (500) CISER</t>
  </si>
  <si>
    <t>#10 x 1 1/2" (4,8x 38mm) TORN. AUTORROS. GALV. BINDING 10 X 1 1/2" (500) CISER</t>
  </si>
  <si>
    <t>27-701-72-010</t>
  </si>
  <si>
    <t>SILICONA NEUTRA BLANCA 300ML. (24U) JB-9600 JUNBOND</t>
  </si>
  <si>
    <t>11-602-03-040</t>
  </si>
  <si>
    <t>11-710-02-010</t>
  </si>
  <si>
    <t>TORN. AUTORROS. GALV. BINDING 8 X 1 1/2" (4,2 x 38mm) (500) WILLIAM</t>
  </si>
  <si>
    <t>TORNILLO BINDING PUNTA MECHA 8 X 1/2" (4,2 x 13mm) CISER</t>
  </si>
  <si>
    <t>DOB05N</t>
  </si>
  <si>
    <t>POMELA S30 MEKAL NEGRA</t>
  </si>
  <si>
    <t>AGC6524</t>
  </si>
  <si>
    <t>MANOTON APLICADO 250mm, CORREDIZA</t>
  </si>
  <si>
    <t>SISTEMA PROBBA/SISTEMA SUMMA/SISTEMA GALA</t>
  </si>
  <si>
    <t>MULTIUSO SILICONA ACETICA TRANSPARENTE CARTUCHO</t>
  </si>
  <si>
    <t>27-701-72-005</t>
  </si>
  <si>
    <t>SILICONA NEUTRA TRANSPARENTE JB-BF (24U) 9600 JUNBOND</t>
  </si>
  <si>
    <t>01685-80-961-250</t>
  </si>
  <si>
    <t>TORNILLO MADERA PZ 5X80</t>
  </si>
  <si>
    <t>098518100196110/</t>
  </si>
  <si>
    <t>CINTA AISLADORA 0,13X18X10M CLASE C</t>
  </si>
  <si>
    <t>011548-38-961-250</t>
  </si>
  <si>
    <t>TOR-CHAPA-DIN7981-C-H2-(A2K)-4,8X38 - DIN 7981 acero cinc. Cabeza alomada PH for</t>
  </si>
  <si>
    <t>TOR-CHAPA-DIN7981-C-H2-(A2K)-4,8X25 - DIN 7981 acero cinc. Cabeza alomada PH for</t>
  </si>
  <si>
    <t>011548-50-961-250</t>
  </si>
  <si>
    <t>011548-25-961-500</t>
  </si>
  <si>
    <t>TOR-CHAPA-DIN7981-C-H2-(A2K)-4,8X50 - DIN 7981 acero cinc. Cabeza alomada PH for</t>
  </si>
  <si>
    <t>#10 x 1 1/2" (4,8x 38mm)</t>
  </si>
  <si>
    <t>#10 x 1" (4,8x 25mm)</t>
  </si>
  <si>
    <t>#10 x 2" (4,8X 50mm)</t>
  </si>
  <si>
    <t>011542-38-961-500</t>
  </si>
  <si>
    <t>TOR-CHAPA-DIN7981-C-H2-(A2K)-4,2X38 - DIN 7981 acero cinc. Cabeza alomada PH for</t>
  </si>
  <si>
    <t># (4,2X38mm)</t>
  </si>
  <si>
    <t>clavo líquido</t>
  </si>
  <si>
    <t>Francico</t>
  </si>
  <si>
    <t>Abertura</t>
  </si>
  <si>
    <t>PUERTA INTERIOR MADERA</t>
  </si>
  <si>
    <t>Precio especial</t>
  </si>
  <si>
    <t xml:space="preserve">PUERTA EXTERIOR MADERA </t>
  </si>
  <si>
    <t>DT Importaciones</t>
  </si>
  <si>
    <t>KIT MDF MARRÓN COLONIAL (p y acc)</t>
  </si>
  <si>
    <t>Puerta Exterior Semiblindada Blanca Derecha</t>
  </si>
  <si>
    <t>Guantes</t>
  </si>
  <si>
    <t>H01949</t>
  </si>
  <si>
    <t>WÜRTH</t>
  </si>
  <si>
    <t>REPUESTO TRINCHETA ANCHA 10 PZ</t>
  </si>
  <si>
    <t>Clavo Líquido</t>
  </si>
  <si>
    <t>SILICONA NEUTRA TODOS LOS COLORES</t>
  </si>
  <si>
    <t>Urualum</t>
  </si>
  <si>
    <t>RODAMIENTO SERIE 20 NEUMÁTICO</t>
  </si>
  <si>
    <t>Ruedas Serie 20</t>
  </si>
  <si>
    <t>PROT. DESAGÛE</t>
  </si>
  <si>
    <t>TAPON SERIE 20</t>
  </si>
  <si>
    <t>Estanqueidad</t>
  </si>
  <si>
    <t>CBP2020</t>
  </si>
  <si>
    <t>CIERRE LARA PERNO CORTO</t>
  </si>
  <si>
    <t>S20/S25</t>
  </si>
  <si>
    <t>Lara</t>
  </si>
  <si>
    <t>TIRADOR 195MM CON TORNILLOS</t>
  </si>
  <si>
    <t>CBP404</t>
  </si>
  <si>
    <t>CUBETAS</t>
  </si>
  <si>
    <t>TAPON SERIE 25</t>
  </si>
  <si>
    <t>Peloral</t>
  </si>
  <si>
    <t>068 9950 254 961</t>
  </si>
  <si>
    <t xml:space="preserve">Felpilla (BURLETE 7 X 4,25 GRIS SIN BARRERA </t>
  </si>
  <si>
    <t>FELPA</t>
  </si>
  <si>
    <t xml:space="preserve">Felpilla (BURLETE 7 X 9 CON BARRERA GRIS </t>
  </si>
  <si>
    <t>068 9950 258 961</t>
  </si>
  <si>
    <t>450 Metros</t>
  </si>
  <si>
    <t>comprar</t>
  </si>
  <si>
    <t>Christian Accesorios</t>
  </si>
  <si>
    <t>Rueda Serie 20</t>
  </si>
  <si>
    <t>Cubetas Medianas</t>
  </si>
  <si>
    <t>0892 318 85</t>
  </si>
  <si>
    <t>SILICONA ACETICA (TODOS LOS COLORES) 300 ML</t>
  </si>
  <si>
    <t>PRECINTOS 7,6 300 MM (100 UN) NEGRO</t>
  </si>
  <si>
    <t>TACO TIPO S NYLON C/ANILLO 6MM</t>
  </si>
  <si>
    <t>APLICADOR CDE SILICONA FRIA</t>
  </si>
  <si>
    <t>EL MAESTRO</t>
  </si>
  <si>
    <t>DISCO DE CORTE PREMIUM CUT 115X0, 8X22,23MM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</si>
</sst>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applyNumberFormat="1" applyFont="1"/>
    <xf numFmtId="1" fontId="1" fillId="0" borderId="0" xfId="0" applyNumberFormat="1" applyFont="1"/>
    <xf numFmtId="16" fontId="1" fillId="0" borderId="0" xfId="0" applyNumberFormat="1" applyFont="1"/>
    <xf numFmtId="1" fontId="1" fillId="0" borderId="0" xfId="0" applyNumberFormat="1" applyFont="1" applyAlignment="1">
      <alignment horizontal="center"/>
    </xf>
    <xf numFmtId="16" fontId="0" fillId="0" borderId="0" xfId="0" applyNumberFormat="1"/>
    <xf numFmtId="0" fontId="6" fillId="0" borderId="0" xfId="0" applyFont="1"/>
    <xf numFmtId="2" fontId="6" fillId="0" borderId="0" xfId="0" applyNumberFormat="1" applyFont="1"/>
    <xf numFmtId="1" fontId="0" fillId="0" borderId="0" xfId="0" applyNumberFormat="1"/>
    <xf numFmtId="164" fontId="1" fillId="0" borderId="0" xfId="0" applyNumberFormat="1" applyFont="1"/>
    <xf numFmtId="16" fontId="6" fillId="0" borderId="0" xfId="0" applyNumberFormat="1" applyFont="1"/>
    <xf numFmtId="0" fontId="6" fillId="0" borderId="0" xfId="0" applyFont="1" applyAlignment="1">
      <alignment horizontal="center"/>
    </xf>
    <xf numFmtId="1" fontId="6" fillId="0" borderId="0" xfId="0" applyNumberFormat="1" applyFont="1"/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/>
    <xf numFmtId="166" fontId="1" fillId="0" borderId="0" xfId="0" applyNumberFormat="1" applyFont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0" xfId="0" applyFill="1"/>
    <xf numFmtId="16" fontId="0" fillId="3" borderId="0" xfId="0" applyNumberFormat="1" applyFill="1"/>
    <xf numFmtId="0" fontId="0" fillId="4" borderId="0" xfId="0" applyFill="1"/>
    <xf numFmtId="0" fontId="1" fillId="4" borderId="0" xfId="0" applyFont="1" applyFill="1"/>
    <xf numFmtId="1" fontId="1" fillId="4" borderId="0" xfId="0" applyNumberFormat="1" applyFont="1" applyFill="1"/>
    <xf numFmtId="0" fontId="0" fillId="5" borderId="0" xfId="0" applyFill="1"/>
    <xf numFmtId="0" fontId="1" fillId="5" borderId="0" xfId="0" applyFont="1" applyFill="1"/>
    <xf numFmtId="0" fontId="2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1" fontId="1" fillId="5" borderId="0" xfId="0" applyNumberFormat="1" applyFont="1" applyFill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6"/>
  <sheetViews>
    <sheetView showGridLines="0" topLeftCell="B1" workbookViewId="0">
      <pane ySplit="3" topLeftCell="A79" activePane="bottomLeft" state="frozen"/>
      <selection pane="bottomLeft" activeCell="E17" sqref="E17"/>
    </sheetView>
  </sheetViews>
  <sheetFormatPr baseColWidth="10" defaultRowHeight="15"/>
  <cols>
    <col min="3" max="3" width="22.140625" bestFit="1" customWidth="1"/>
    <col min="5" max="5" width="23.28515625" customWidth="1"/>
    <col min="6" max="6" width="13" bestFit="1" customWidth="1"/>
    <col min="7" max="7" width="14" customWidth="1"/>
    <col min="8" max="8" width="18.28515625" bestFit="1" customWidth="1"/>
    <col min="9" max="9" width="12" bestFit="1" customWidth="1"/>
    <col min="10" max="10" width="15.85546875" bestFit="1" customWidth="1"/>
    <col min="11" max="11" width="24.42578125" bestFit="1" customWidth="1"/>
    <col min="12" max="12" width="11.5703125" bestFit="1" customWidth="1"/>
  </cols>
  <sheetData>
    <row r="1" spans="1:1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s="3" customFormat="1">
      <c r="A3" s="3" t="s">
        <v>45</v>
      </c>
      <c r="B3" s="3" t="s">
        <v>44</v>
      </c>
      <c r="C3" s="21" t="s">
        <v>38</v>
      </c>
      <c r="D3" s="21" t="s">
        <v>39</v>
      </c>
      <c r="E3" s="21" t="s">
        <v>1</v>
      </c>
      <c r="F3" s="21" t="s">
        <v>2</v>
      </c>
      <c r="G3" s="21" t="s">
        <v>3</v>
      </c>
      <c r="H3" s="21" t="s">
        <v>4</v>
      </c>
      <c r="I3" s="22" t="s">
        <v>18</v>
      </c>
      <c r="J3" s="21" t="s">
        <v>5</v>
      </c>
      <c r="K3" s="21" t="s">
        <v>23</v>
      </c>
      <c r="L3" s="21" t="s">
        <v>24</v>
      </c>
    </row>
    <row r="4" spans="1:12" s="1" customFormat="1">
      <c r="A4" s="1">
        <v>1</v>
      </c>
      <c r="B4" s="7">
        <v>44582</v>
      </c>
      <c r="C4" s="1" t="s">
        <v>40</v>
      </c>
      <c r="D4" s="1" t="s">
        <v>41</v>
      </c>
      <c r="E4" s="1" t="s">
        <v>42</v>
      </c>
      <c r="F4" s="1" t="s">
        <v>43</v>
      </c>
      <c r="G4" s="5">
        <v>2.7</v>
      </c>
      <c r="H4" s="3" t="s">
        <v>37</v>
      </c>
      <c r="I4" s="4">
        <v>45</v>
      </c>
      <c r="J4" s="3" t="s">
        <v>37</v>
      </c>
      <c r="K4" s="6">
        <f t="shared" ref="K4:K36" si="0">G4*I4*1.244</f>
        <v>151.14600000000002</v>
      </c>
      <c r="L4" s="6">
        <f>G4*I4*2</f>
        <v>243.00000000000003</v>
      </c>
    </row>
    <row r="5" spans="1:12" s="1" customFormat="1">
      <c r="A5" s="1">
        <v>2</v>
      </c>
      <c r="B5" s="7">
        <v>45455</v>
      </c>
      <c r="C5" s="1" t="s">
        <v>303</v>
      </c>
      <c r="D5" s="1" t="s">
        <v>90</v>
      </c>
      <c r="E5" s="1" t="s">
        <v>304</v>
      </c>
      <c r="F5" s="1" t="s">
        <v>21</v>
      </c>
      <c r="G5" s="5">
        <f>3090.48*1.22/900</f>
        <v>4.1893173333333333</v>
      </c>
      <c r="H5" s="3" t="s">
        <v>14</v>
      </c>
      <c r="I5" s="4">
        <v>1</v>
      </c>
      <c r="J5" s="3" t="s">
        <v>37</v>
      </c>
      <c r="K5" s="6">
        <f t="shared" si="0"/>
        <v>5.2115107626666664</v>
      </c>
      <c r="L5" s="6">
        <f t="shared" ref="L5:L28" si="1">G5*I5*2</f>
        <v>8.3786346666666667</v>
      </c>
    </row>
    <row r="6" spans="1:12" s="1" customFormat="1">
      <c r="A6" s="1">
        <v>3</v>
      </c>
      <c r="D6" s="1" t="s">
        <v>302</v>
      </c>
      <c r="E6" s="1" t="s">
        <v>6</v>
      </c>
      <c r="F6" s="1" t="s">
        <v>21</v>
      </c>
      <c r="G6" s="5">
        <v>0.63900000000000001</v>
      </c>
      <c r="H6" s="3" t="s">
        <v>15</v>
      </c>
      <c r="I6" s="4">
        <v>45</v>
      </c>
      <c r="J6" s="3" t="s">
        <v>37</v>
      </c>
      <c r="K6" s="6">
        <f t="shared" si="0"/>
        <v>35.77122</v>
      </c>
      <c r="L6" s="6">
        <f t="shared" si="1"/>
        <v>57.51</v>
      </c>
    </row>
    <row r="7" spans="1:12" s="1" customFormat="1">
      <c r="A7" s="1">
        <v>5</v>
      </c>
      <c r="E7" s="1" t="s">
        <v>7</v>
      </c>
      <c r="F7" s="1" t="s">
        <v>296</v>
      </c>
      <c r="G7" s="5">
        <v>0.56602426837972875</v>
      </c>
      <c r="H7" s="3" t="s">
        <v>17</v>
      </c>
      <c r="I7" s="4">
        <v>45</v>
      </c>
      <c r="J7" s="3" t="s">
        <v>37</v>
      </c>
      <c r="K7" s="6">
        <f t="shared" si="0"/>
        <v>31.686038543897215</v>
      </c>
      <c r="L7" s="6">
        <f t="shared" si="1"/>
        <v>50.942184154175585</v>
      </c>
    </row>
    <row r="8" spans="1:12" s="1" customFormat="1">
      <c r="A8" s="1">
        <v>6</v>
      </c>
      <c r="E8" s="1" t="s">
        <v>8</v>
      </c>
      <c r="F8" s="1" t="s">
        <v>296</v>
      </c>
      <c r="G8" s="5">
        <v>0.37444682369735904</v>
      </c>
      <c r="H8" s="3" t="s">
        <v>17</v>
      </c>
      <c r="I8" s="4">
        <v>45</v>
      </c>
      <c r="J8" s="3" t="s">
        <v>37</v>
      </c>
      <c r="K8" s="6">
        <f t="shared" si="0"/>
        <v>20.961533190578159</v>
      </c>
      <c r="L8" s="6">
        <f t="shared" si="1"/>
        <v>33.700214132762312</v>
      </c>
    </row>
    <row r="9" spans="1:12" s="1" customFormat="1">
      <c r="A9" s="1">
        <v>7</v>
      </c>
      <c r="E9" s="1" t="s">
        <v>9</v>
      </c>
      <c r="F9" s="1" t="s">
        <v>13</v>
      </c>
      <c r="G9" s="5">
        <v>1.3</v>
      </c>
      <c r="H9" s="3" t="s">
        <v>17</v>
      </c>
      <c r="I9" s="4">
        <v>45</v>
      </c>
      <c r="J9" s="3" t="s">
        <v>37</v>
      </c>
      <c r="K9" s="6">
        <f t="shared" si="0"/>
        <v>72.774000000000001</v>
      </c>
      <c r="L9" s="6">
        <v>120</v>
      </c>
    </row>
    <row r="10" spans="1:12" s="1" customFormat="1">
      <c r="A10" s="1">
        <v>8</v>
      </c>
      <c r="B10" s="7">
        <v>45455</v>
      </c>
      <c r="C10" s="1" t="s">
        <v>294</v>
      </c>
      <c r="D10" s="1" t="s">
        <v>70</v>
      </c>
      <c r="E10" s="1" t="s">
        <v>295</v>
      </c>
      <c r="F10" s="1" t="s">
        <v>296</v>
      </c>
      <c r="G10" s="5">
        <f>4564.04*1.22/100</f>
        <v>55.681287999999995</v>
      </c>
      <c r="H10" s="3" t="s">
        <v>17</v>
      </c>
      <c r="I10" s="4">
        <v>1</v>
      </c>
      <c r="J10" s="3" t="s">
        <v>37</v>
      </c>
      <c r="K10" s="6">
        <f t="shared" si="0"/>
        <v>69.267522271999994</v>
      </c>
      <c r="L10" s="6">
        <f t="shared" si="1"/>
        <v>111.36257599999999</v>
      </c>
    </row>
    <row r="11" spans="1:12" s="10" customFormat="1">
      <c r="A11" s="10">
        <v>9</v>
      </c>
      <c r="B11" s="14">
        <v>45455</v>
      </c>
      <c r="C11" s="10" t="s">
        <v>235</v>
      </c>
      <c r="D11" s="10" t="s">
        <v>236</v>
      </c>
      <c r="E11" s="10" t="s">
        <v>289</v>
      </c>
      <c r="F11" s="10" t="s">
        <v>13</v>
      </c>
      <c r="G11" s="11">
        <f>1472.27/200*1.22</f>
        <v>8.9808469999999989</v>
      </c>
      <c r="H11" s="15" t="s">
        <v>17</v>
      </c>
      <c r="I11" s="15">
        <v>1</v>
      </c>
      <c r="J11" s="15" t="s">
        <v>37</v>
      </c>
      <c r="K11" s="16">
        <f t="shared" si="0"/>
        <v>11.172173667999999</v>
      </c>
      <c r="L11" s="16">
        <f t="shared" si="1"/>
        <v>17.961693999999998</v>
      </c>
    </row>
    <row r="12" spans="1:12" s="1" customFormat="1">
      <c r="A12" s="1">
        <v>10</v>
      </c>
      <c r="D12" s="1" t="s">
        <v>70</v>
      </c>
      <c r="E12" s="1" t="s">
        <v>10</v>
      </c>
      <c r="F12" s="1" t="s">
        <v>21</v>
      </c>
      <c r="G12" s="5">
        <v>0.28301213418986448</v>
      </c>
      <c r="H12" s="3" t="s">
        <v>17</v>
      </c>
      <c r="I12" s="4">
        <v>45</v>
      </c>
      <c r="J12" s="3" t="s">
        <v>37</v>
      </c>
      <c r="K12" s="6">
        <f t="shared" si="0"/>
        <v>15.843019271948613</v>
      </c>
      <c r="L12" s="6">
        <f t="shared" si="1"/>
        <v>25.471092077087803</v>
      </c>
    </row>
    <row r="13" spans="1:12" s="1" customFormat="1">
      <c r="A13" s="1">
        <v>11</v>
      </c>
      <c r="B13" s="7">
        <v>45455</v>
      </c>
      <c r="C13" s="1" t="s">
        <v>75</v>
      </c>
      <c r="D13" s="1" t="s">
        <v>70</v>
      </c>
      <c r="E13" s="1" t="s">
        <v>11</v>
      </c>
      <c r="F13" s="1" t="s">
        <v>21</v>
      </c>
      <c r="G13" s="5">
        <f>1472.27*1.22/200</f>
        <v>8.9808470000000007</v>
      </c>
      <c r="H13" s="3" t="s">
        <v>17</v>
      </c>
      <c r="I13" s="4">
        <v>1</v>
      </c>
      <c r="J13" s="3" t="s">
        <v>37</v>
      </c>
      <c r="K13" s="6">
        <f t="shared" si="0"/>
        <v>11.172173668000001</v>
      </c>
      <c r="L13" s="6">
        <f t="shared" si="1"/>
        <v>17.961694000000001</v>
      </c>
    </row>
    <row r="14" spans="1:12" s="1" customFormat="1">
      <c r="A14" s="1">
        <v>12</v>
      </c>
      <c r="B14" s="7">
        <v>44587</v>
      </c>
      <c r="C14" s="1" t="s">
        <v>74</v>
      </c>
      <c r="D14" s="1" t="s">
        <v>70</v>
      </c>
      <c r="E14" s="1" t="s">
        <v>12</v>
      </c>
      <c r="F14" s="1" t="s">
        <v>21</v>
      </c>
      <c r="G14" s="5">
        <f>883.36*1.22/200</f>
        <v>5.388496</v>
      </c>
      <c r="H14" s="3" t="s">
        <v>17</v>
      </c>
      <c r="I14" s="4">
        <v>1</v>
      </c>
      <c r="J14" s="3" t="s">
        <v>37</v>
      </c>
      <c r="K14" s="6">
        <f t="shared" si="0"/>
        <v>6.703289024</v>
      </c>
      <c r="L14" s="6">
        <f t="shared" si="1"/>
        <v>10.776992</v>
      </c>
    </row>
    <row r="15" spans="1:12" s="1" customFormat="1">
      <c r="A15" s="1">
        <v>13</v>
      </c>
      <c r="E15" s="1" t="s">
        <v>19</v>
      </c>
      <c r="F15" s="1" t="s">
        <v>21</v>
      </c>
      <c r="G15" s="5">
        <v>7.3200000000000001E-2</v>
      </c>
      <c r="H15" s="3" t="s">
        <v>16</v>
      </c>
      <c r="I15" s="4">
        <v>45</v>
      </c>
      <c r="J15" s="3" t="s">
        <v>37</v>
      </c>
      <c r="K15" s="6">
        <f t="shared" si="0"/>
        <v>4.0977360000000003</v>
      </c>
      <c r="L15" s="6">
        <f t="shared" si="1"/>
        <v>6.5880000000000001</v>
      </c>
    </row>
    <row r="16" spans="1:12" s="1" customFormat="1">
      <c r="A16" s="1">
        <v>14</v>
      </c>
      <c r="B16" s="7">
        <v>44635</v>
      </c>
      <c r="C16" s="1" t="s">
        <v>157</v>
      </c>
      <c r="D16" s="1" t="s">
        <v>70</v>
      </c>
      <c r="E16" s="1" t="s">
        <v>22</v>
      </c>
      <c r="F16" s="1" t="s">
        <v>20</v>
      </c>
      <c r="G16" s="5">
        <v>1.6714</v>
      </c>
      <c r="H16" s="3" t="s">
        <v>17</v>
      </c>
      <c r="I16" s="4">
        <v>45</v>
      </c>
      <c r="J16" s="3" t="s">
        <v>37</v>
      </c>
      <c r="K16" s="6">
        <f>G16*I16*1.244</f>
        <v>93.564971999999997</v>
      </c>
      <c r="L16" s="6">
        <f>G16*I16*1.5</f>
        <v>112.81949999999999</v>
      </c>
    </row>
    <row r="17" spans="1:12" s="1" customFormat="1">
      <c r="A17" s="1">
        <v>15</v>
      </c>
      <c r="B17" s="7">
        <v>44671</v>
      </c>
      <c r="C17" s="1" t="s">
        <v>88</v>
      </c>
      <c r="D17" s="1" t="s">
        <v>54</v>
      </c>
      <c r="E17" s="1" t="s">
        <v>89</v>
      </c>
      <c r="F17" s="1" t="s">
        <v>20</v>
      </c>
      <c r="G17" s="5">
        <v>4.5896400000000002</v>
      </c>
      <c r="H17" s="3">
        <v>20</v>
      </c>
      <c r="I17" s="4">
        <v>45</v>
      </c>
      <c r="J17" s="17">
        <f>G17*H17*I17*1.1</f>
        <v>4543.7436000000007</v>
      </c>
      <c r="K17" s="6">
        <f t="shared" si="0"/>
        <v>256.92804720000004</v>
      </c>
      <c r="L17" s="6">
        <f t="shared" si="1"/>
        <v>413.06760000000003</v>
      </c>
    </row>
    <row r="18" spans="1:12" s="1" customFormat="1">
      <c r="A18" s="1">
        <v>16</v>
      </c>
      <c r="E18" s="1" t="s">
        <v>26</v>
      </c>
      <c r="F18" s="1" t="s">
        <v>20</v>
      </c>
      <c r="G18" s="5">
        <v>13.56</v>
      </c>
      <c r="H18" s="3" t="s">
        <v>32</v>
      </c>
      <c r="I18" s="4">
        <v>45</v>
      </c>
      <c r="J18" s="3" t="s">
        <v>37</v>
      </c>
      <c r="K18" s="6">
        <f t="shared" si="0"/>
        <v>759.08880000000011</v>
      </c>
      <c r="L18" s="6">
        <f t="shared" si="1"/>
        <v>1220.4000000000001</v>
      </c>
    </row>
    <row r="19" spans="1:12" s="1" customFormat="1">
      <c r="A19" s="1">
        <v>17</v>
      </c>
      <c r="E19" s="1" t="s">
        <v>27</v>
      </c>
      <c r="F19" s="1" t="s">
        <v>25</v>
      </c>
      <c r="G19" s="5">
        <v>3.02</v>
      </c>
      <c r="H19" s="3" t="s">
        <v>33</v>
      </c>
      <c r="I19" s="4">
        <v>45</v>
      </c>
      <c r="J19" s="3" t="s">
        <v>37</v>
      </c>
      <c r="K19" s="6">
        <f t="shared" si="0"/>
        <v>169.05960000000002</v>
      </c>
      <c r="L19" s="6">
        <f t="shared" si="1"/>
        <v>271.8</v>
      </c>
    </row>
    <row r="20" spans="1:12" s="1" customFormat="1">
      <c r="A20" s="1">
        <v>18</v>
      </c>
      <c r="E20" s="1" t="s">
        <v>28</v>
      </c>
      <c r="F20" s="1" t="s">
        <v>25</v>
      </c>
      <c r="G20" s="5">
        <v>5.17</v>
      </c>
      <c r="H20" s="3" t="s">
        <v>34</v>
      </c>
      <c r="I20" s="4">
        <v>45</v>
      </c>
      <c r="J20" s="3" t="s">
        <v>37</v>
      </c>
      <c r="K20" s="6">
        <f t="shared" si="0"/>
        <v>289.41660000000002</v>
      </c>
      <c r="L20" s="6">
        <f t="shared" si="1"/>
        <v>465.3</v>
      </c>
    </row>
    <row r="21" spans="1:12" s="1" customFormat="1">
      <c r="A21" s="1">
        <v>19</v>
      </c>
      <c r="B21" s="7">
        <v>44595</v>
      </c>
      <c r="C21" s="1" t="s">
        <v>76</v>
      </c>
      <c r="D21" s="1" t="s">
        <v>54</v>
      </c>
      <c r="E21" s="1" t="s">
        <v>79</v>
      </c>
      <c r="F21" s="1" t="s">
        <v>80</v>
      </c>
      <c r="G21" s="5">
        <v>0.17385</v>
      </c>
      <c r="H21" s="3" t="s">
        <v>17</v>
      </c>
      <c r="I21" s="4">
        <v>45</v>
      </c>
      <c r="J21" s="3" t="s">
        <v>37</v>
      </c>
      <c r="K21" s="6">
        <f t="shared" si="0"/>
        <v>9.7321229999999996</v>
      </c>
      <c r="L21" s="6">
        <f t="shared" si="1"/>
        <v>15.6465</v>
      </c>
    </row>
    <row r="22" spans="1:12" s="1" customFormat="1">
      <c r="A22" s="1">
        <v>20</v>
      </c>
      <c r="B22" s="7">
        <v>44615</v>
      </c>
      <c r="C22" s="1" t="s">
        <v>94</v>
      </c>
      <c r="D22" s="1" t="s">
        <v>54</v>
      </c>
      <c r="E22" s="1" t="s">
        <v>95</v>
      </c>
      <c r="F22" s="1" t="s">
        <v>80</v>
      </c>
      <c r="G22" s="5">
        <v>0.32451999999999998</v>
      </c>
      <c r="H22" s="3" t="s">
        <v>37</v>
      </c>
      <c r="I22" s="4">
        <v>45</v>
      </c>
      <c r="J22" s="3" t="s">
        <v>37</v>
      </c>
      <c r="K22" s="6">
        <f t="shared" si="0"/>
        <v>18.166629599999997</v>
      </c>
      <c r="L22" s="6">
        <f t="shared" si="1"/>
        <v>29.206799999999998</v>
      </c>
    </row>
    <row r="23" spans="1:12" s="1" customFormat="1">
      <c r="A23" s="1">
        <v>21</v>
      </c>
      <c r="E23" s="1" t="s">
        <v>29</v>
      </c>
      <c r="F23" s="1" t="s">
        <v>30</v>
      </c>
      <c r="G23" s="5">
        <v>2.96</v>
      </c>
      <c r="H23" s="3" t="s">
        <v>35</v>
      </c>
      <c r="I23" s="4">
        <v>45</v>
      </c>
      <c r="J23" s="3" t="s">
        <v>37</v>
      </c>
      <c r="K23" s="6">
        <f t="shared" si="0"/>
        <v>165.70079999999999</v>
      </c>
      <c r="L23" s="6">
        <f t="shared" si="1"/>
        <v>266.39999999999998</v>
      </c>
    </row>
    <row r="24" spans="1:12" s="1" customFormat="1">
      <c r="A24" s="1">
        <v>22</v>
      </c>
      <c r="E24" s="1" t="s">
        <v>31</v>
      </c>
      <c r="F24" s="1" t="s">
        <v>25</v>
      </c>
      <c r="G24" s="5">
        <v>0.63900000000000001</v>
      </c>
      <c r="H24" s="3" t="s">
        <v>15</v>
      </c>
      <c r="I24" s="4">
        <v>45</v>
      </c>
      <c r="J24" s="3" t="s">
        <v>37</v>
      </c>
      <c r="K24" s="6">
        <f t="shared" si="0"/>
        <v>35.77122</v>
      </c>
      <c r="L24" s="6">
        <f t="shared" si="1"/>
        <v>57.51</v>
      </c>
    </row>
    <row r="25" spans="1:12" s="1" customFormat="1">
      <c r="A25" s="1">
        <v>23</v>
      </c>
      <c r="E25" s="1" t="s">
        <v>36</v>
      </c>
      <c r="F25" s="1" t="s">
        <v>81</v>
      </c>
      <c r="G25" s="5">
        <v>12.16</v>
      </c>
      <c r="H25" s="3" t="s">
        <v>37</v>
      </c>
      <c r="I25" s="4">
        <v>45</v>
      </c>
      <c r="J25" s="3" t="s">
        <v>37</v>
      </c>
      <c r="K25" s="6">
        <f t="shared" si="0"/>
        <v>680.71680000000003</v>
      </c>
      <c r="L25" s="6">
        <f t="shared" si="1"/>
        <v>1094.4000000000001</v>
      </c>
    </row>
    <row r="26" spans="1:12" s="1" customFormat="1">
      <c r="A26" s="1">
        <v>24</v>
      </c>
      <c r="B26" s="7">
        <v>45405</v>
      </c>
      <c r="C26" s="1" t="s">
        <v>46</v>
      </c>
      <c r="D26" s="1" t="s">
        <v>41</v>
      </c>
      <c r="E26" s="1" t="s">
        <v>48</v>
      </c>
      <c r="F26" s="1" t="s">
        <v>50</v>
      </c>
      <c r="G26" s="5">
        <f>116.27/6*1.22</f>
        <v>23.641566666666666</v>
      </c>
      <c r="H26" s="3" t="s">
        <v>37</v>
      </c>
      <c r="I26" s="4">
        <v>45</v>
      </c>
      <c r="J26" s="3" t="s">
        <v>37</v>
      </c>
      <c r="K26" s="6">
        <f t="shared" si="0"/>
        <v>1323.4549019999999</v>
      </c>
      <c r="L26" s="6">
        <f t="shared" si="1"/>
        <v>2127.741</v>
      </c>
    </row>
    <row r="27" spans="1:12" s="1" customFormat="1">
      <c r="A27" s="1">
        <v>25</v>
      </c>
      <c r="B27" s="7">
        <v>45405</v>
      </c>
      <c r="C27" s="1" t="s">
        <v>47</v>
      </c>
      <c r="D27" s="1" t="s">
        <v>41</v>
      </c>
      <c r="E27" s="1" t="s">
        <v>49</v>
      </c>
      <c r="F27" s="1" t="s">
        <v>50</v>
      </c>
      <c r="G27" s="5">
        <f>34.3/6*1.22</f>
        <v>6.9743333333333322</v>
      </c>
      <c r="H27" s="3" t="s">
        <v>37</v>
      </c>
      <c r="I27" s="4">
        <v>45</v>
      </c>
      <c r="J27" s="3" t="s">
        <v>37</v>
      </c>
      <c r="K27" s="6">
        <f t="shared" si="0"/>
        <v>390.42317999999995</v>
      </c>
      <c r="L27" s="6">
        <f t="shared" si="1"/>
        <v>627.68999999999994</v>
      </c>
    </row>
    <row r="28" spans="1:12" s="1" customFormat="1">
      <c r="A28" s="1">
        <v>26</v>
      </c>
      <c r="B28" s="7">
        <v>44671</v>
      </c>
      <c r="C28" s="1" t="s">
        <v>53</v>
      </c>
      <c r="D28" s="1" t="s">
        <v>54</v>
      </c>
      <c r="E28" s="1" t="s">
        <v>112</v>
      </c>
      <c r="F28" s="1" t="s">
        <v>55</v>
      </c>
      <c r="G28" s="5">
        <v>0.73016999999999999</v>
      </c>
      <c r="H28" s="3" t="s">
        <v>37</v>
      </c>
      <c r="I28" s="4">
        <v>45</v>
      </c>
      <c r="J28" s="3" t="s">
        <v>37</v>
      </c>
      <c r="K28" s="6">
        <f t="shared" si="0"/>
        <v>40.874916599999999</v>
      </c>
      <c r="L28" s="6">
        <f t="shared" si="1"/>
        <v>65.715299999999999</v>
      </c>
    </row>
    <row r="29" spans="1:12" s="1" customFormat="1">
      <c r="A29" s="1">
        <v>27</v>
      </c>
      <c r="B29" s="7">
        <v>44671</v>
      </c>
      <c r="C29" s="1" t="s">
        <v>111</v>
      </c>
      <c r="D29" s="1" t="s">
        <v>54</v>
      </c>
      <c r="E29" s="1" t="s">
        <v>113</v>
      </c>
      <c r="F29" s="1" t="s">
        <v>55</v>
      </c>
      <c r="G29" s="5">
        <v>1.0430999999999999</v>
      </c>
      <c r="H29" s="3" t="s">
        <v>37</v>
      </c>
      <c r="I29" s="4">
        <v>45</v>
      </c>
      <c r="J29" s="3" t="s">
        <v>37</v>
      </c>
      <c r="K29" s="6">
        <f t="shared" si="0"/>
        <v>58.392737999999994</v>
      </c>
      <c r="L29" s="6">
        <f t="shared" ref="L29" si="2">G29*I29*2</f>
        <v>93.878999999999991</v>
      </c>
    </row>
    <row r="30" spans="1:12" s="1" customFormat="1">
      <c r="A30" s="1">
        <v>28</v>
      </c>
      <c r="B30" s="7">
        <v>44587</v>
      </c>
      <c r="C30" s="1" t="s">
        <v>56</v>
      </c>
      <c r="D30" s="1" t="s">
        <v>54</v>
      </c>
      <c r="E30" s="1" t="s">
        <v>57</v>
      </c>
      <c r="F30" s="1" t="s">
        <v>58</v>
      </c>
      <c r="G30" s="5">
        <v>2.1557400000000002</v>
      </c>
      <c r="H30" s="3" t="s">
        <v>59</v>
      </c>
      <c r="I30" s="4">
        <v>45</v>
      </c>
      <c r="J30" s="3" t="s">
        <v>37</v>
      </c>
      <c r="K30" s="6">
        <f t="shared" si="0"/>
        <v>120.6783252</v>
      </c>
      <c r="L30" s="6">
        <f t="shared" ref="L30:L33" si="3">G30*I30*2</f>
        <v>194.01660000000001</v>
      </c>
    </row>
    <row r="31" spans="1:12" s="1" customFormat="1">
      <c r="A31" s="1">
        <v>29</v>
      </c>
      <c r="B31" s="7">
        <v>44634</v>
      </c>
      <c r="C31" s="1" t="s">
        <v>61</v>
      </c>
      <c r="D31" s="1" t="s">
        <v>54</v>
      </c>
      <c r="E31" s="1" t="s">
        <v>60</v>
      </c>
      <c r="F31" s="1" t="s">
        <v>62</v>
      </c>
      <c r="G31" s="5">
        <v>4.6475900000000001</v>
      </c>
      <c r="H31" s="3" t="s">
        <v>37</v>
      </c>
      <c r="I31" s="4">
        <v>45</v>
      </c>
      <c r="J31" s="3" t="s">
        <v>37</v>
      </c>
      <c r="K31" s="6">
        <f t="shared" si="0"/>
        <v>260.17208820000002</v>
      </c>
      <c r="L31" s="6">
        <f t="shared" si="3"/>
        <v>418.28309999999999</v>
      </c>
    </row>
    <row r="32" spans="1:12" s="1" customFormat="1">
      <c r="A32" s="1">
        <v>30</v>
      </c>
      <c r="B32" s="7">
        <v>44631</v>
      </c>
      <c r="C32" s="1" t="s">
        <v>64</v>
      </c>
      <c r="D32" s="1" t="s">
        <v>54</v>
      </c>
      <c r="E32" s="1" t="s">
        <v>63</v>
      </c>
      <c r="F32" s="1" t="s">
        <v>62</v>
      </c>
      <c r="G32" s="5">
        <v>5.4357100000000003</v>
      </c>
      <c r="H32" s="3" t="s">
        <v>37</v>
      </c>
      <c r="I32" s="4">
        <v>45</v>
      </c>
      <c r="J32" s="3" t="s">
        <v>37</v>
      </c>
      <c r="K32" s="6">
        <f t="shared" si="0"/>
        <v>304.29104580000001</v>
      </c>
      <c r="L32" s="6">
        <f t="shared" si="3"/>
        <v>489.21390000000002</v>
      </c>
    </row>
    <row r="33" spans="1:12" s="1" customFormat="1">
      <c r="A33" s="1">
        <v>31</v>
      </c>
      <c r="B33" s="7">
        <v>44643</v>
      </c>
      <c r="C33" s="1" t="s">
        <v>65</v>
      </c>
      <c r="D33" s="1" t="s">
        <v>54</v>
      </c>
      <c r="E33" s="1" t="s">
        <v>66</v>
      </c>
      <c r="F33" s="1" t="s">
        <v>62</v>
      </c>
      <c r="G33" s="5">
        <v>9.5830000000000002</v>
      </c>
      <c r="H33" s="3" t="s">
        <v>37</v>
      </c>
      <c r="I33" s="4">
        <v>45</v>
      </c>
      <c r="J33" s="3" t="s">
        <v>37</v>
      </c>
      <c r="K33" s="6">
        <f t="shared" si="0"/>
        <v>536.45634000000007</v>
      </c>
      <c r="L33" s="6">
        <f t="shared" si="3"/>
        <v>862.47</v>
      </c>
    </row>
    <row r="34" spans="1:12" s="1" customFormat="1">
      <c r="A34" s="1">
        <v>32</v>
      </c>
      <c r="B34" s="7">
        <v>44634</v>
      </c>
      <c r="C34" s="1" t="s">
        <v>68</v>
      </c>
      <c r="D34" s="1" t="s">
        <v>54</v>
      </c>
      <c r="E34" s="1" t="s">
        <v>67</v>
      </c>
      <c r="F34" s="1" t="s">
        <v>62</v>
      </c>
      <c r="G34" s="5">
        <v>18.72944</v>
      </c>
      <c r="H34" s="3" t="s">
        <v>37</v>
      </c>
      <c r="I34" s="4">
        <v>45</v>
      </c>
      <c r="J34" s="3" t="s">
        <v>37</v>
      </c>
      <c r="K34" s="6">
        <f t="shared" si="0"/>
        <v>1048.4740512000001</v>
      </c>
      <c r="L34" s="6">
        <f t="shared" ref="L34" si="4">G34*I34*2</f>
        <v>1685.6496</v>
      </c>
    </row>
    <row r="35" spans="1:12" s="1" customFormat="1">
      <c r="A35" s="1">
        <v>33</v>
      </c>
      <c r="B35" s="7">
        <v>45455</v>
      </c>
      <c r="C35" s="1" t="s">
        <v>69</v>
      </c>
      <c r="D35" s="1" t="s">
        <v>70</v>
      </c>
      <c r="E35" s="1" t="s">
        <v>71</v>
      </c>
      <c r="F35" s="1" t="s">
        <v>13</v>
      </c>
      <c r="G35" s="5">
        <f>220.84*1.22/100</f>
        <v>2.694248</v>
      </c>
      <c r="H35" s="3">
        <v>100</v>
      </c>
      <c r="I35" s="4">
        <v>1</v>
      </c>
      <c r="J35" s="3" t="s">
        <v>37</v>
      </c>
      <c r="K35" s="6">
        <f t="shared" si="0"/>
        <v>3.351644512</v>
      </c>
      <c r="L35" s="6">
        <f t="shared" ref="L35" si="5">G35*I35*2</f>
        <v>5.388496</v>
      </c>
    </row>
    <row r="36" spans="1:12" s="1" customFormat="1">
      <c r="A36" s="1">
        <v>34</v>
      </c>
      <c r="B36" s="7">
        <v>45455</v>
      </c>
      <c r="C36" s="1" t="s">
        <v>72</v>
      </c>
      <c r="D36" s="1" t="s">
        <v>70</v>
      </c>
      <c r="E36" s="1" t="s">
        <v>73</v>
      </c>
      <c r="F36" s="1" t="s">
        <v>20</v>
      </c>
      <c r="G36" s="5">
        <f>229.33*1.22/100</f>
        <v>2.7978260000000001</v>
      </c>
      <c r="H36" s="3">
        <v>100</v>
      </c>
      <c r="I36" s="4">
        <v>1</v>
      </c>
      <c r="J36" s="3" t="s">
        <v>37</v>
      </c>
      <c r="K36" s="6">
        <f t="shared" si="0"/>
        <v>3.4804955440000001</v>
      </c>
      <c r="L36" s="6">
        <f t="shared" ref="L36" si="6">G36*I36*2</f>
        <v>5.5956520000000003</v>
      </c>
    </row>
    <row r="37" spans="1:12" s="1" customFormat="1">
      <c r="A37" s="1">
        <v>35</v>
      </c>
      <c r="B37" s="7">
        <v>44595</v>
      </c>
      <c r="C37" s="1" t="s">
        <v>77</v>
      </c>
      <c r="D37" s="1" t="s">
        <v>54</v>
      </c>
      <c r="E37" s="1" t="s">
        <v>78</v>
      </c>
      <c r="F37" s="1" t="s">
        <v>81</v>
      </c>
      <c r="G37" s="5">
        <v>0.25497999999999998</v>
      </c>
      <c r="H37" s="3" t="s">
        <v>37</v>
      </c>
      <c r="I37" s="4">
        <v>45</v>
      </c>
      <c r="J37" s="3" t="s">
        <v>37</v>
      </c>
      <c r="K37" s="6">
        <f t="shared" ref="K37" si="7">G37*I37*1.244</f>
        <v>14.2737804</v>
      </c>
      <c r="L37" s="6">
        <f t="shared" ref="L37" si="8">G37*I37*2</f>
        <v>22.9482</v>
      </c>
    </row>
    <row r="38" spans="1:12" s="1" customFormat="1">
      <c r="A38" s="1">
        <v>36</v>
      </c>
      <c r="B38" s="7">
        <v>44671</v>
      </c>
      <c r="C38" s="1" t="s">
        <v>82</v>
      </c>
      <c r="D38" s="1" t="s">
        <v>54</v>
      </c>
      <c r="E38" s="1" t="s">
        <v>83</v>
      </c>
      <c r="F38" s="1" t="s">
        <v>81</v>
      </c>
      <c r="G38" s="5">
        <v>1.37921</v>
      </c>
      <c r="H38" s="3" t="s">
        <v>37</v>
      </c>
      <c r="I38" s="4">
        <v>45</v>
      </c>
      <c r="J38" s="3" t="s">
        <v>37</v>
      </c>
      <c r="K38" s="6">
        <f t="shared" ref="K38" si="9">G38*I38*1.244</f>
        <v>77.208175800000006</v>
      </c>
      <c r="L38" s="6">
        <f t="shared" ref="L38" si="10">G38*I38*2</f>
        <v>124.1289</v>
      </c>
    </row>
    <row r="39" spans="1:12" s="1" customFormat="1">
      <c r="A39" s="1">
        <v>37</v>
      </c>
      <c r="B39" s="7">
        <v>44671</v>
      </c>
      <c r="C39" s="1" t="s">
        <v>84</v>
      </c>
      <c r="D39" s="1" t="s">
        <v>54</v>
      </c>
      <c r="E39" s="1" t="s">
        <v>85</v>
      </c>
      <c r="F39" s="1" t="s">
        <v>81</v>
      </c>
      <c r="G39" s="5">
        <v>1.5066999999999999</v>
      </c>
      <c r="H39" s="3" t="s">
        <v>37</v>
      </c>
      <c r="I39" s="4">
        <v>45</v>
      </c>
      <c r="J39" s="3" t="s">
        <v>37</v>
      </c>
      <c r="K39" s="6">
        <f t="shared" ref="K39" si="11">G39*I39*1.244</f>
        <v>84.345065999999989</v>
      </c>
      <c r="L39" s="6">
        <f t="shared" ref="L39" si="12">G39*I39*2</f>
        <v>135.60299999999998</v>
      </c>
    </row>
    <row r="40" spans="1:12" s="1" customFormat="1">
      <c r="A40" s="1">
        <v>38</v>
      </c>
      <c r="B40" s="7">
        <v>44671</v>
      </c>
      <c r="C40" s="1" t="s">
        <v>86</v>
      </c>
      <c r="D40" s="1" t="s">
        <v>54</v>
      </c>
      <c r="E40" s="1" t="s">
        <v>166</v>
      </c>
      <c r="F40" s="1" t="s">
        <v>87</v>
      </c>
      <c r="G40" s="5">
        <v>4.1608099999999997</v>
      </c>
      <c r="H40" s="3" t="s">
        <v>37</v>
      </c>
      <c r="I40" s="4">
        <v>45</v>
      </c>
      <c r="J40" s="3" t="s">
        <v>37</v>
      </c>
      <c r="K40" s="6">
        <f t="shared" ref="K40:K45" si="13">G40*I40*1.244</f>
        <v>232.92214379999999</v>
      </c>
      <c r="L40" s="6">
        <f t="shared" ref="L40:L45" si="14">G40*I40*2</f>
        <v>374.47289999999998</v>
      </c>
    </row>
    <row r="41" spans="1:12" s="1" customFormat="1">
      <c r="A41" s="1">
        <v>39</v>
      </c>
      <c r="B41" s="7">
        <v>44615</v>
      </c>
      <c r="C41" s="1" t="s">
        <v>91</v>
      </c>
      <c r="D41" s="1" t="s">
        <v>54</v>
      </c>
      <c r="E41" s="1" t="s">
        <v>92</v>
      </c>
      <c r="F41" s="1" t="s">
        <v>93</v>
      </c>
      <c r="G41" s="5">
        <v>0.19700000000000001</v>
      </c>
      <c r="H41" s="3" t="s">
        <v>37</v>
      </c>
      <c r="I41" s="4">
        <v>45</v>
      </c>
      <c r="J41" s="3" t="s">
        <v>37</v>
      </c>
      <c r="K41" s="6">
        <f t="shared" si="13"/>
        <v>11.02806</v>
      </c>
      <c r="L41" s="6">
        <f t="shared" si="14"/>
        <v>17.73</v>
      </c>
    </row>
    <row r="42" spans="1:12" s="1" customFormat="1">
      <c r="A42" s="1">
        <v>40</v>
      </c>
      <c r="B42" s="7">
        <v>44615</v>
      </c>
      <c r="C42" s="1" t="s">
        <v>96</v>
      </c>
      <c r="D42" s="1" t="s">
        <v>54</v>
      </c>
      <c r="E42" s="1" t="s">
        <v>97</v>
      </c>
      <c r="F42" s="1" t="s">
        <v>98</v>
      </c>
      <c r="G42" s="5">
        <v>0.49836999999999998</v>
      </c>
      <c r="H42" s="3" t="s">
        <v>37</v>
      </c>
      <c r="I42" s="4">
        <v>45</v>
      </c>
      <c r="J42" s="3" t="s">
        <v>37</v>
      </c>
      <c r="K42" s="6">
        <f t="shared" si="13"/>
        <v>27.898752599999998</v>
      </c>
      <c r="L42" s="6">
        <f t="shared" si="14"/>
        <v>44.853299999999997</v>
      </c>
    </row>
    <row r="43" spans="1:12" s="1" customFormat="1">
      <c r="A43" s="1">
        <v>41</v>
      </c>
      <c r="B43" s="7">
        <v>44616</v>
      </c>
      <c r="C43" s="1">
        <v>2011574223</v>
      </c>
      <c r="D43" s="1" t="s">
        <v>90</v>
      </c>
      <c r="E43" s="1" t="s">
        <v>109</v>
      </c>
      <c r="G43" s="5">
        <v>7.3649999999999993E-2</v>
      </c>
      <c r="H43" s="3" t="s">
        <v>37</v>
      </c>
      <c r="I43" s="4">
        <v>45</v>
      </c>
      <c r="J43" s="3" t="s">
        <v>37</v>
      </c>
      <c r="K43" s="6">
        <f t="shared" si="13"/>
        <v>4.1229269999999989</v>
      </c>
      <c r="L43" s="6">
        <f t="shared" si="14"/>
        <v>6.6284999999999989</v>
      </c>
    </row>
    <row r="44" spans="1:12" s="1" customFormat="1">
      <c r="A44" s="1">
        <v>42</v>
      </c>
      <c r="B44" s="7">
        <v>44616</v>
      </c>
      <c r="C44" s="1">
        <v>2011574214</v>
      </c>
      <c r="D44" s="1" t="s">
        <v>90</v>
      </c>
      <c r="E44" s="1" t="s">
        <v>110</v>
      </c>
      <c r="G44" s="5">
        <v>4.6440000000000002E-2</v>
      </c>
      <c r="H44" s="3" t="s">
        <v>37</v>
      </c>
      <c r="I44" s="4">
        <v>45</v>
      </c>
      <c r="J44" s="3" t="s">
        <v>37</v>
      </c>
      <c r="K44" s="6">
        <f t="shared" si="13"/>
        <v>2.5997111999999998</v>
      </c>
      <c r="L44" s="6">
        <f t="shared" si="14"/>
        <v>4.1795999999999998</v>
      </c>
    </row>
    <row r="45" spans="1:12" s="1" customFormat="1">
      <c r="A45" s="1">
        <v>43</v>
      </c>
      <c r="B45" s="7">
        <v>44631</v>
      </c>
      <c r="C45" s="1" t="s">
        <v>118</v>
      </c>
      <c r="D45" s="1" t="s">
        <v>54</v>
      </c>
      <c r="E45" s="1" t="s">
        <v>119</v>
      </c>
      <c r="F45" s="1" t="s">
        <v>55</v>
      </c>
      <c r="G45" s="5">
        <v>0.45201000000000002</v>
      </c>
      <c r="H45" s="3">
        <v>30</v>
      </c>
      <c r="I45" s="4">
        <v>45</v>
      </c>
      <c r="J45" s="3" t="s">
        <v>37</v>
      </c>
      <c r="K45" s="6">
        <f t="shared" si="13"/>
        <v>25.3035198</v>
      </c>
      <c r="L45" s="6">
        <f t="shared" si="14"/>
        <v>40.680900000000001</v>
      </c>
    </row>
    <row r="46" spans="1:12" s="1" customFormat="1">
      <c r="A46" s="1">
        <v>44</v>
      </c>
      <c r="B46" s="7">
        <v>44634</v>
      </c>
      <c r="C46" s="1" t="s">
        <v>120</v>
      </c>
      <c r="D46" s="1" t="s">
        <v>54</v>
      </c>
      <c r="E46" s="1" t="s">
        <v>121</v>
      </c>
      <c r="F46" s="1" t="s">
        <v>81</v>
      </c>
      <c r="G46" s="5">
        <v>2.5034399999999999</v>
      </c>
      <c r="H46" s="3">
        <v>2</v>
      </c>
      <c r="I46" s="4">
        <v>45</v>
      </c>
      <c r="J46" s="3" t="s">
        <v>37</v>
      </c>
      <c r="K46" s="6">
        <f t="shared" ref="K46" si="15">G46*I46*1.244</f>
        <v>140.14257119999999</v>
      </c>
      <c r="L46" s="6">
        <f t="shared" ref="L46" si="16">G46*I46*2</f>
        <v>225.30959999999999</v>
      </c>
    </row>
    <row r="47" spans="1:12" s="1" customFormat="1">
      <c r="A47" s="1">
        <v>45</v>
      </c>
      <c r="B47" s="7">
        <v>44634</v>
      </c>
      <c r="C47" s="1" t="s">
        <v>124</v>
      </c>
      <c r="D47" s="1" t="s">
        <v>54</v>
      </c>
      <c r="E47" s="1" t="s">
        <v>125</v>
      </c>
      <c r="F47" s="1" t="s">
        <v>98</v>
      </c>
      <c r="G47" s="5">
        <v>1.46034</v>
      </c>
      <c r="H47" s="3" t="s">
        <v>37</v>
      </c>
      <c r="I47" s="4">
        <v>45</v>
      </c>
      <c r="J47" s="3" t="s">
        <v>37</v>
      </c>
      <c r="K47" s="6">
        <f t="shared" ref="K47" si="17">G47*I47*1.244</f>
        <v>81.749833199999998</v>
      </c>
      <c r="L47" s="6">
        <f t="shared" ref="L47" si="18">G47*I47*2</f>
        <v>131.4306</v>
      </c>
    </row>
    <row r="48" spans="1:12" s="1" customFormat="1">
      <c r="A48" s="1">
        <v>46</v>
      </c>
      <c r="B48" s="7">
        <v>44671</v>
      </c>
      <c r="C48" s="1" t="s">
        <v>126</v>
      </c>
      <c r="D48" s="1" t="s">
        <v>54</v>
      </c>
      <c r="E48" s="1" t="s">
        <v>127</v>
      </c>
      <c r="F48" s="1" t="s">
        <v>98</v>
      </c>
      <c r="G48" s="5">
        <v>5.2386799999999996</v>
      </c>
      <c r="H48" s="3" t="s">
        <v>37</v>
      </c>
      <c r="I48" s="4">
        <v>45</v>
      </c>
      <c r="J48" s="3" t="s">
        <v>37</v>
      </c>
      <c r="K48" s="6">
        <f t="shared" ref="K48:K49" si="19">G48*I48*1.244</f>
        <v>293.26130639999997</v>
      </c>
      <c r="L48" s="6">
        <f t="shared" ref="L48:L49" si="20">G48*I48*2</f>
        <v>471.48119999999994</v>
      </c>
    </row>
    <row r="49" spans="1:12" s="1" customFormat="1">
      <c r="A49" s="1">
        <v>47</v>
      </c>
      <c r="B49" s="7">
        <v>44635</v>
      </c>
      <c r="C49" s="10" t="s">
        <v>130</v>
      </c>
      <c r="D49" s="1" t="s">
        <v>155</v>
      </c>
      <c r="E49" s="10" t="s">
        <v>131</v>
      </c>
      <c r="F49" s="1" t="s">
        <v>156</v>
      </c>
      <c r="G49" s="5">
        <v>13.3346</v>
      </c>
      <c r="H49" s="3" t="s">
        <v>37</v>
      </c>
      <c r="I49" s="4">
        <v>45</v>
      </c>
      <c r="J49" s="3" t="s">
        <v>37</v>
      </c>
      <c r="K49" s="6">
        <f t="shared" si="19"/>
        <v>746.47090800000001</v>
      </c>
      <c r="L49" s="6">
        <f t="shared" si="20"/>
        <v>1200.114</v>
      </c>
    </row>
    <row r="50" spans="1:12" s="1" customFormat="1">
      <c r="A50" s="1">
        <v>48</v>
      </c>
      <c r="B50" s="7">
        <v>45443</v>
      </c>
      <c r="C50" s="15">
        <v>90031315</v>
      </c>
      <c r="D50" s="1" t="s">
        <v>155</v>
      </c>
      <c r="E50" s="10" t="s">
        <v>132</v>
      </c>
      <c r="F50" s="1" t="s">
        <v>156</v>
      </c>
      <c r="G50" s="5">
        <v>9.8087999999999997</v>
      </c>
      <c r="H50" s="3" t="s">
        <v>37</v>
      </c>
      <c r="I50" s="4">
        <v>45</v>
      </c>
      <c r="J50" s="3" t="s">
        <v>37</v>
      </c>
      <c r="K50" s="6">
        <f t="shared" ref="K50:K71" si="21">G50*I50*1.244</f>
        <v>549.09662400000002</v>
      </c>
      <c r="L50" s="6">
        <f t="shared" ref="L50:L71" si="22">G50*I50*2</f>
        <v>882.79200000000003</v>
      </c>
    </row>
    <row r="51" spans="1:12" s="1" customFormat="1">
      <c r="A51" s="1">
        <v>49</v>
      </c>
      <c r="B51" s="7">
        <v>44635</v>
      </c>
      <c r="C51" s="15" t="s">
        <v>133</v>
      </c>
      <c r="D51" s="1" t="s">
        <v>155</v>
      </c>
      <c r="E51" s="10" t="s">
        <v>134</v>
      </c>
      <c r="F51" s="1" t="s">
        <v>156</v>
      </c>
      <c r="G51" s="5">
        <v>8.8572000000000006</v>
      </c>
      <c r="H51" s="3" t="s">
        <v>37</v>
      </c>
      <c r="I51" s="4">
        <v>45</v>
      </c>
      <c r="J51" s="3" t="s">
        <v>37</v>
      </c>
      <c r="K51" s="6">
        <f t="shared" si="21"/>
        <v>495.82605599999999</v>
      </c>
      <c r="L51" s="6">
        <f t="shared" si="22"/>
        <v>797.14800000000002</v>
      </c>
    </row>
    <row r="52" spans="1:12" s="1" customFormat="1">
      <c r="A52" s="1">
        <v>50</v>
      </c>
      <c r="B52" s="7">
        <v>44635</v>
      </c>
      <c r="C52" s="15">
        <v>90030950</v>
      </c>
      <c r="D52" s="1" t="s">
        <v>155</v>
      </c>
      <c r="E52" s="10" t="s">
        <v>135</v>
      </c>
      <c r="F52" s="1" t="s">
        <v>156</v>
      </c>
      <c r="G52" s="5">
        <v>13.4688</v>
      </c>
      <c r="H52" s="3" t="s">
        <v>37</v>
      </c>
      <c r="I52" s="4">
        <v>45</v>
      </c>
      <c r="J52" s="3" t="s">
        <v>37</v>
      </c>
      <c r="K52" s="6">
        <f t="shared" si="21"/>
        <v>753.98342400000001</v>
      </c>
      <c r="L52" s="6">
        <f t="shared" si="22"/>
        <v>1212.192</v>
      </c>
    </row>
    <row r="53" spans="1:12" s="1" customFormat="1">
      <c r="A53" s="1">
        <v>51</v>
      </c>
      <c r="B53" s="7">
        <v>44635</v>
      </c>
      <c r="C53" s="15">
        <v>90030847</v>
      </c>
      <c r="D53" s="1" t="s">
        <v>155</v>
      </c>
      <c r="E53" s="10" t="s">
        <v>136</v>
      </c>
      <c r="F53" s="1" t="s">
        <v>156</v>
      </c>
      <c r="G53" s="5">
        <v>9.2110000000000003</v>
      </c>
      <c r="H53" s="3" t="s">
        <v>37</v>
      </c>
      <c r="I53" s="4">
        <v>45</v>
      </c>
      <c r="J53" s="3" t="s">
        <v>37</v>
      </c>
      <c r="K53" s="6">
        <f t="shared" si="21"/>
        <v>515.63178000000005</v>
      </c>
      <c r="L53" s="6">
        <f t="shared" si="22"/>
        <v>828.99</v>
      </c>
    </row>
    <row r="54" spans="1:12" s="1" customFormat="1">
      <c r="A54" s="1">
        <v>52</v>
      </c>
      <c r="B54" s="7">
        <v>44635</v>
      </c>
      <c r="C54" s="15">
        <v>70040616</v>
      </c>
      <c r="D54" s="1" t="s">
        <v>155</v>
      </c>
      <c r="E54" s="10" t="s">
        <v>137</v>
      </c>
      <c r="F54" s="1" t="s">
        <v>156</v>
      </c>
      <c r="G54" s="5">
        <v>7.8568000000000007</v>
      </c>
      <c r="H54" s="3" t="s">
        <v>37</v>
      </c>
      <c r="I54" s="4">
        <v>45</v>
      </c>
      <c r="J54" s="3" t="s">
        <v>37</v>
      </c>
      <c r="K54" s="6">
        <f t="shared" si="21"/>
        <v>439.82366400000006</v>
      </c>
      <c r="L54" s="6">
        <f t="shared" si="22"/>
        <v>707.11200000000008</v>
      </c>
    </row>
    <row r="55" spans="1:12" s="1" customFormat="1">
      <c r="A55" s="1">
        <v>53</v>
      </c>
      <c r="B55" s="7">
        <v>44635</v>
      </c>
      <c r="C55" s="15"/>
      <c r="D55" s="1" t="s">
        <v>155</v>
      </c>
      <c r="E55" s="10" t="s">
        <v>138</v>
      </c>
      <c r="F55" s="1" t="s">
        <v>156</v>
      </c>
      <c r="G55" s="5">
        <v>9.6013999999999999</v>
      </c>
      <c r="H55" s="3" t="s">
        <v>37</v>
      </c>
      <c r="I55" s="4">
        <v>45</v>
      </c>
      <c r="J55" s="3" t="s">
        <v>37</v>
      </c>
      <c r="K55" s="6">
        <f t="shared" si="21"/>
        <v>537.48637199999996</v>
      </c>
      <c r="L55" s="6">
        <f t="shared" si="22"/>
        <v>864.12599999999998</v>
      </c>
    </row>
    <row r="56" spans="1:12" s="1" customFormat="1">
      <c r="A56" s="1">
        <v>54</v>
      </c>
      <c r="B56" s="7">
        <v>44635</v>
      </c>
      <c r="C56" s="15" t="s">
        <v>139</v>
      </c>
      <c r="D56" s="1" t="s">
        <v>155</v>
      </c>
      <c r="E56" s="10" t="s">
        <v>140</v>
      </c>
      <c r="F56" s="1" t="s">
        <v>156</v>
      </c>
      <c r="G56" s="5">
        <v>0.84179999999999999</v>
      </c>
      <c r="H56" s="3" t="s">
        <v>37</v>
      </c>
      <c r="I56" s="4">
        <v>45</v>
      </c>
      <c r="J56" s="18">
        <f>G56*50*I56*1.1</f>
        <v>2083.4549999999999</v>
      </c>
      <c r="K56" s="6">
        <f t="shared" si="21"/>
        <v>47.123964000000001</v>
      </c>
      <c r="L56" s="6">
        <f t="shared" si="22"/>
        <v>75.762</v>
      </c>
    </row>
    <row r="57" spans="1:12" s="1" customFormat="1">
      <c r="A57" s="1">
        <v>55</v>
      </c>
      <c r="B57" s="7">
        <v>44635</v>
      </c>
      <c r="C57" s="15">
        <v>90030677</v>
      </c>
      <c r="D57" s="1" t="s">
        <v>155</v>
      </c>
      <c r="E57" s="10" t="s">
        <v>141</v>
      </c>
      <c r="F57" s="1" t="s">
        <v>156</v>
      </c>
      <c r="G57" s="5">
        <v>1.22</v>
      </c>
      <c r="H57" s="3" t="s">
        <v>37</v>
      </c>
      <c r="I57" s="4">
        <v>45</v>
      </c>
      <c r="J57" s="3" t="s">
        <v>37</v>
      </c>
      <c r="K57" s="6">
        <f t="shared" si="21"/>
        <v>68.295599999999993</v>
      </c>
      <c r="L57" s="6">
        <f t="shared" si="22"/>
        <v>109.8</v>
      </c>
    </row>
    <row r="58" spans="1:12" s="1" customFormat="1">
      <c r="A58" s="1">
        <v>56</v>
      </c>
      <c r="B58" s="7">
        <v>44635</v>
      </c>
      <c r="C58" s="15">
        <v>70010043</v>
      </c>
      <c r="D58" s="1" t="s">
        <v>155</v>
      </c>
      <c r="E58" s="10" t="s">
        <v>142</v>
      </c>
      <c r="F58" s="1" t="s">
        <v>156</v>
      </c>
      <c r="G58" s="5">
        <v>13.24</v>
      </c>
      <c r="H58" s="3" t="s">
        <v>37</v>
      </c>
      <c r="I58" s="4">
        <v>45</v>
      </c>
      <c r="J58" s="3" t="s">
        <v>37</v>
      </c>
      <c r="K58" s="6">
        <f t="shared" si="21"/>
        <v>741.1751999999999</v>
      </c>
      <c r="L58" s="6">
        <f t="shared" si="22"/>
        <v>1191.5999999999999</v>
      </c>
    </row>
    <row r="59" spans="1:12" s="1" customFormat="1">
      <c r="A59" s="1">
        <v>57</v>
      </c>
      <c r="B59" s="7">
        <v>44635</v>
      </c>
      <c r="C59" s="15">
        <v>70010046</v>
      </c>
      <c r="D59" s="1" t="s">
        <v>155</v>
      </c>
      <c r="E59" s="10" t="s">
        <v>143</v>
      </c>
      <c r="F59" s="1" t="s">
        <v>156</v>
      </c>
      <c r="G59" s="5">
        <v>21.18</v>
      </c>
      <c r="H59" s="3" t="s">
        <v>37</v>
      </c>
      <c r="I59" s="4">
        <v>45</v>
      </c>
      <c r="J59" s="3" t="s">
        <v>37</v>
      </c>
      <c r="K59" s="6">
        <f t="shared" si="21"/>
        <v>1185.6564000000001</v>
      </c>
      <c r="L59" s="6">
        <f t="shared" si="22"/>
        <v>1906.2</v>
      </c>
    </row>
    <row r="60" spans="1:12" s="1" customFormat="1">
      <c r="A60" s="1">
        <v>58</v>
      </c>
      <c r="B60" s="7">
        <v>44635</v>
      </c>
      <c r="C60" s="15" t="s">
        <v>144</v>
      </c>
      <c r="D60" s="1" t="s">
        <v>155</v>
      </c>
      <c r="E60" s="10" t="s">
        <v>145</v>
      </c>
      <c r="F60" s="1" t="s">
        <v>156</v>
      </c>
      <c r="G60" s="5">
        <v>26.35</v>
      </c>
      <c r="H60" s="3" t="s">
        <v>37</v>
      </c>
      <c r="I60" s="4">
        <v>45</v>
      </c>
      <c r="J60" s="3" t="s">
        <v>37</v>
      </c>
      <c r="K60" s="6">
        <f t="shared" si="21"/>
        <v>1475.0730000000001</v>
      </c>
      <c r="L60" s="6">
        <f t="shared" si="22"/>
        <v>2371.5</v>
      </c>
    </row>
    <row r="61" spans="1:12" s="1" customFormat="1">
      <c r="A61" s="1">
        <v>59</v>
      </c>
      <c r="B61" s="7">
        <v>44635</v>
      </c>
      <c r="C61" s="15">
        <v>70050449</v>
      </c>
      <c r="D61" s="1" t="s">
        <v>155</v>
      </c>
      <c r="E61" s="10" t="s">
        <v>146</v>
      </c>
      <c r="F61" s="1" t="s">
        <v>156</v>
      </c>
      <c r="G61" s="5">
        <v>0.52</v>
      </c>
      <c r="H61" s="3" t="s">
        <v>37</v>
      </c>
      <c r="I61" s="4">
        <v>45</v>
      </c>
      <c r="J61" s="3" t="s">
        <v>37</v>
      </c>
      <c r="K61" s="6">
        <f t="shared" si="21"/>
        <v>29.109600000000004</v>
      </c>
      <c r="L61" s="6">
        <f t="shared" si="22"/>
        <v>46.800000000000004</v>
      </c>
    </row>
    <row r="62" spans="1:12" s="1" customFormat="1">
      <c r="A62" s="1">
        <v>60</v>
      </c>
      <c r="B62" s="7">
        <v>44635</v>
      </c>
      <c r="C62" s="15" t="s">
        <v>147</v>
      </c>
      <c r="D62" s="1" t="s">
        <v>155</v>
      </c>
      <c r="E62" s="10" t="s">
        <v>148</v>
      </c>
      <c r="F62" s="1" t="s">
        <v>156</v>
      </c>
      <c r="G62" s="5">
        <v>5.98</v>
      </c>
      <c r="H62" s="3" t="s">
        <v>37</v>
      </c>
      <c r="I62" s="4">
        <v>45</v>
      </c>
      <c r="J62" s="3" t="s">
        <v>37</v>
      </c>
      <c r="K62" s="6">
        <f t="shared" si="21"/>
        <v>334.7604</v>
      </c>
      <c r="L62" s="6">
        <f t="shared" si="22"/>
        <v>538.20000000000005</v>
      </c>
    </row>
    <row r="63" spans="1:12" s="1" customFormat="1">
      <c r="A63" s="1">
        <v>61</v>
      </c>
      <c r="B63" s="7">
        <v>44635</v>
      </c>
      <c r="C63" s="15" t="s">
        <v>149</v>
      </c>
      <c r="D63" s="1" t="s">
        <v>155</v>
      </c>
      <c r="E63" s="10" t="s">
        <v>150</v>
      </c>
      <c r="F63" s="1" t="s">
        <v>156</v>
      </c>
      <c r="G63" s="5">
        <v>9.2100000000000009</v>
      </c>
      <c r="H63" s="3" t="s">
        <v>37</v>
      </c>
      <c r="I63" s="4">
        <v>45</v>
      </c>
      <c r="J63" s="3" t="s">
        <v>37</v>
      </c>
      <c r="K63" s="6">
        <f t="shared" si="21"/>
        <v>515.57580000000007</v>
      </c>
      <c r="L63" s="6">
        <f t="shared" si="22"/>
        <v>828.90000000000009</v>
      </c>
    </row>
    <row r="64" spans="1:12" s="1" customFormat="1">
      <c r="A64" s="1">
        <v>62</v>
      </c>
      <c r="B64" s="7">
        <v>44635</v>
      </c>
      <c r="C64" s="15" t="s">
        <v>151</v>
      </c>
      <c r="D64" s="1" t="s">
        <v>155</v>
      </c>
      <c r="E64" s="10" t="s">
        <v>152</v>
      </c>
      <c r="F64" s="1" t="s">
        <v>156</v>
      </c>
      <c r="G64" s="5">
        <v>85.924599999999998</v>
      </c>
      <c r="H64" s="3" t="s">
        <v>37</v>
      </c>
      <c r="I64" s="4">
        <v>45</v>
      </c>
      <c r="J64" s="3" t="s">
        <v>37</v>
      </c>
      <c r="K64" s="6">
        <f t="shared" si="21"/>
        <v>4810.0591080000004</v>
      </c>
      <c r="L64" s="6">
        <f t="shared" si="22"/>
        <v>7733.2139999999999</v>
      </c>
    </row>
    <row r="65" spans="1:12" s="1" customFormat="1">
      <c r="A65" s="1">
        <v>63</v>
      </c>
      <c r="B65" s="7">
        <v>44635</v>
      </c>
      <c r="C65" s="15" t="s">
        <v>153</v>
      </c>
      <c r="D65" s="1" t="s">
        <v>155</v>
      </c>
      <c r="E65" s="10" t="s">
        <v>154</v>
      </c>
      <c r="F65" s="1" t="s">
        <v>156</v>
      </c>
      <c r="G65" s="5">
        <v>44.627600000000001</v>
      </c>
      <c r="H65" s="3" t="s">
        <v>37</v>
      </c>
      <c r="I65" s="4">
        <v>45</v>
      </c>
      <c r="J65" s="3" t="s">
        <v>37</v>
      </c>
      <c r="K65" s="6">
        <f t="shared" si="21"/>
        <v>2498.253048</v>
      </c>
      <c r="L65" s="6">
        <f>G65*I65*1.375</f>
        <v>2761.33275</v>
      </c>
    </row>
    <row r="66" spans="1:12" s="1" customFormat="1">
      <c r="A66" s="1">
        <v>64</v>
      </c>
      <c r="B66" s="7">
        <v>44641</v>
      </c>
      <c r="C66" s="15" t="s">
        <v>161</v>
      </c>
      <c r="D66" s="1" t="s">
        <v>54</v>
      </c>
      <c r="E66" s="10" t="s">
        <v>169</v>
      </c>
      <c r="F66" s="1" t="s">
        <v>170</v>
      </c>
      <c r="G66" s="5">
        <v>1.2403</v>
      </c>
      <c r="H66" s="3" t="s">
        <v>37</v>
      </c>
      <c r="I66" s="4">
        <v>45</v>
      </c>
      <c r="J66" s="3" t="s">
        <v>37</v>
      </c>
      <c r="K66" s="6">
        <f t="shared" si="21"/>
        <v>69.431994000000003</v>
      </c>
      <c r="L66" s="6">
        <f t="shared" si="22"/>
        <v>111.627</v>
      </c>
    </row>
    <row r="67" spans="1:12" s="1" customFormat="1">
      <c r="A67" s="1">
        <v>65</v>
      </c>
      <c r="B67" s="7">
        <v>44671</v>
      </c>
      <c r="C67" s="15" t="s">
        <v>164</v>
      </c>
      <c r="D67" s="1" t="s">
        <v>54</v>
      </c>
      <c r="E67" s="10" t="s">
        <v>97</v>
      </c>
      <c r="F67" s="1" t="s">
        <v>93</v>
      </c>
      <c r="G67" s="5">
        <v>1.2517199999999999</v>
      </c>
      <c r="H67" s="3" t="s">
        <v>37</v>
      </c>
      <c r="I67" s="4">
        <v>45</v>
      </c>
      <c r="J67" s="3" t="s">
        <v>37</v>
      </c>
      <c r="K67" s="6">
        <f t="shared" si="21"/>
        <v>70.071285599999996</v>
      </c>
      <c r="L67" s="6">
        <f t="shared" si="22"/>
        <v>112.65479999999999</v>
      </c>
    </row>
    <row r="68" spans="1:12" s="1" customFormat="1">
      <c r="A68" s="1">
        <v>66</v>
      </c>
      <c r="B68" s="7">
        <v>44671</v>
      </c>
      <c r="C68" s="15" t="s">
        <v>165</v>
      </c>
      <c r="D68" s="1" t="s">
        <v>54</v>
      </c>
      <c r="E68" s="10" t="s">
        <v>167</v>
      </c>
      <c r="F68" s="1" t="s">
        <v>87</v>
      </c>
      <c r="G68" s="5">
        <v>4.1608099999999997</v>
      </c>
      <c r="H68" s="3" t="s">
        <v>37</v>
      </c>
      <c r="I68" s="4">
        <v>45</v>
      </c>
      <c r="J68" s="3" t="s">
        <v>37</v>
      </c>
      <c r="K68" s="6">
        <f t="shared" si="21"/>
        <v>232.92214379999999</v>
      </c>
      <c r="L68" s="6">
        <f t="shared" si="22"/>
        <v>374.47289999999998</v>
      </c>
    </row>
    <row r="69" spans="1:12" s="1" customFormat="1">
      <c r="A69" s="1">
        <v>67</v>
      </c>
      <c r="B69" s="7">
        <v>44671</v>
      </c>
      <c r="C69" s="15" t="s">
        <v>168</v>
      </c>
      <c r="D69" s="1" t="s">
        <v>54</v>
      </c>
      <c r="E69" s="10" t="s">
        <v>169</v>
      </c>
      <c r="F69" s="1" t="s">
        <v>171</v>
      </c>
      <c r="G69" s="5">
        <v>0.97355999999999998</v>
      </c>
      <c r="H69" s="3" t="s">
        <v>37</v>
      </c>
      <c r="I69" s="4">
        <v>45</v>
      </c>
      <c r="J69" s="3" t="s">
        <v>37</v>
      </c>
      <c r="K69" s="6">
        <f t="shared" si="21"/>
        <v>54.499888800000001</v>
      </c>
      <c r="L69" s="6">
        <f t="shared" si="22"/>
        <v>87.620400000000004</v>
      </c>
    </row>
    <row r="70" spans="1:12" s="1" customFormat="1">
      <c r="A70" s="1">
        <v>68</v>
      </c>
      <c r="B70" s="7">
        <v>44671</v>
      </c>
      <c r="C70" s="15"/>
      <c r="D70" s="1" t="s">
        <v>41</v>
      </c>
      <c r="E70" s="10" t="s">
        <v>172</v>
      </c>
      <c r="F70" s="1" t="s">
        <v>156</v>
      </c>
      <c r="G70" s="5">
        <v>10.186999999999999</v>
      </c>
      <c r="H70" s="3" t="s">
        <v>37</v>
      </c>
      <c r="I70" s="4">
        <v>45</v>
      </c>
      <c r="J70" s="3" t="s">
        <v>37</v>
      </c>
      <c r="K70" s="6">
        <f t="shared" si="21"/>
        <v>570.26825999999994</v>
      </c>
      <c r="L70" s="6">
        <f t="shared" si="22"/>
        <v>916.82999999999993</v>
      </c>
    </row>
    <row r="71" spans="1:12" s="1" customFormat="1">
      <c r="A71" s="1">
        <v>69</v>
      </c>
      <c r="B71" s="7">
        <v>45393</v>
      </c>
      <c r="C71" s="15" t="s">
        <v>237</v>
      </c>
      <c r="D71" s="1" t="s">
        <v>226</v>
      </c>
      <c r="E71" s="10" t="s">
        <v>242</v>
      </c>
      <c r="F71" s="1" t="s">
        <v>267</v>
      </c>
      <c r="G71" s="19">
        <f>29.02*1.22/1000</f>
        <v>3.5404399999999996E-2</v>
      </c>
      <c r="H71" s="3" t="s">
        <v>37</v>
      </c>
      <c r="I71" s="4">
        <v>45</v>
      </c>
      <c r="J71" s="18">
        <f>G71*500*I71*1.1</f>
        <v>876.25890000000004</v>
      </c>
      <c r="K71" s="5">
        <f t="shared" si="21"/>
        <v>1.9819383119999998</v>
      </c>
      <c r="L71" s="5">
        <f t="shared" si="22"/>
        <v>3.1863959999999998</v>
      </c>
    </row>
    <row r="72" spans="1:12" s="1" customFormat="1">
      <c r="A72" s="1">
        <v>70</v>
      </c>
      <c r="B72" s="7">
        <v>45393</v>
      </c>
      <c r="C72" s="15" t="s">
        <v>238</v>
      </c>
      <c r="D72" s="1" t="s">
        <v>226</v>
      </c>
      <c r="E72" s="10" t="s">
        <v>241</v>
      </c>
      <c r="F72" s="1" t="s">
        <v>268</v>
      </c>
      <c r="G72" s="19">
        <f>22.77*1.22/1000</f>
        <v>2.7779399999999999E-2</v>
      </c>
      <c r="H72" s="3">
        <v>500</v>
      </c>
      <c r="I72" s="4">
        <v>45</v>
      </c>
      <c r="J72" s="18">
        <f>G72*500*I72*1.1</f>
        <v>687.54014999999993</v>
      </c>
      <c r="K72" s="5">
        <f t="shared" ref="K72" si="23">G72*I72*1.244</f>
        <v>1.555090812</v>
      </c>
      <c r="L72" s="5">
        <f t="shared" ref="L72" si="24">G72*I72*2</f>
        <v>2.500146</v>
      </c>
    </row>
    <row r="73" spans="1:12" s="1" customFormat="1">
      <c r="A73" s="1">
        <v>71</v>
      </c>
      <c r="B73" s="7">
        <v>45393</v>
      </c>
      <c r="C73" s="15" t="s">
        <v>239</v>
      </c>
      <c r="D73" s="1" t="s">
        <v>226</v>
      </c>
      <c r="E73" s="10" t="s">
        <v>240</v>
      </c>
      <c r="F73" s="1" t="s">
        <v>269</v>
      </c>
      <c r="G73" s="20">
        <f>40.39*1.22/1000</f>
        <v>4.9275799999999995E-2</v>
      </c>
      <c r="H73" s="3">
        <v>500</v>
      </c>
      <c r="I73" s="4">
        <v>45</v>
      </c>
      <c r="J73" s="18">
        <f>G73*500*I73*1.1</f>
        <v>1219.5760500000001</v>
      </c>
      <c r="K73" s="5">
        <f t="shared" ref="K73" si="25">G73*I73*1.244</f>
        <v>2.7584592839999997</v>
      </c>
      <c r="L73" s="5">
        <f t="shared" ref="L73" si="26">G73*I73*2</f>
        <v>4.4348219999999996</v>
      </c>
    </row>
    <row r="74" spans="1:12" s="1" customFormat="1">
      <c r="A74" s="1">
        <v>72</v>
      </c>
      <c r="B74" s="7">
        <v>45404</v>
      </c>
      <c r="C74" s="15" t="s">
        <v>245</v>
      </c>
      <c r="D74" s="1" t="s">
        <v>226</v>
      </c>
      <c r="E74" s="10" t="s">
        <v>247</v>
      </c>
      <c r="G74" s="5">
        <f>65.02*1.22/2000</f>
        <v>3.9662200000000002E-2</v>
      </c>
      <c r="H74" s="3">
        <v>500</v>
      </c>
      <c r="I74" s="4">
        <v>45</v>
      </c>
      <c r="J74" s="18">
        <f>G74*500*I74*1.1</f>
        <v>981.63945000000001</v>
      </c>
      <c r="K74" s="5">
        <f t="shared" ref="K74" si="27">G74*I74*1.244</f>
        <v>2.2202899560000002</v>
      </c>
      <c r="L74" s="5">
        <f t="shared" ref="L74" si="28">G74*I74*2</f>
        <v>3.569598</v>
      </c>
    </row>
    <row r="75" spans="1:12" s="1" customFormat="1">
      <c r="A75" s="1">
        <v>73</v>
      </c>
      <c r="B75" s="7">
        <v>45404</v>
      </c>
      <c r="C75" s="15" t="s">
        <v>246</v>
      </c>
      <c r="D75" s="1" t="s">
        <v>226</v>
      </c>
      <c r="E75" s="10" t="s">
        <v>248</v>
      </c>
      <c r="G75" s="5">
        <f>34.51*1.22/2000</f>
        <v>2.10511E-2</v>
      </c>
      <c r="H75" s="3">
        <v>500</v>
      </c>
      <c r="I75" s="4">
        <v>45</v>
      </c>
      <c r="J75" s="18">
        <f>G75*500*I75*1.1</f>
        <v>521.014725</v>
      </c>
      <c r="K75" s="5">
        <f t="shared" ref="K75" si="29">G75*I75*1.244</f>
        <v>1.178440578</v>
      </c>
      <c r="L75" s="5">
        <f t="shared" ref="L75" si="30">G75*I75*2</f>
        <v>1.8945989999999999</v>
      </c>
    </row>
    <row r="76" spans="1:12" s="1" customFormat="1">
      <c r="A76" s="1">
        <v>74</v>
      </c>
      <c r="B76" s="7">
        <v>45405</v>
      </c>
      <c r="C76" s="15" t="s">
        <v>249</v>
      </c>
      <c r="D76" s="1" t="s">
        <v>41</v>
      </c>
      <c r="E76" s="10" t="s">
        <v>250</v>
      </c>
      <c r="F76" s="1" t="s">
        <v>25</v>
      </c>
      <c r="G76" s="5">
        <f>88.68/30*1.22</f>
        <v>3.6063200000000006</v>
      </c>
      <c r="H76" s="3" t="s">
        <v>37</v>
      </c>
      <c r="I76" s="4">
        <v>45</v>
      </c>
      <c r="J76" s="18" t="s">
        <v>37</v>
      </c>
      <c r="K76" s="5">
        <f t="shared" ref="K76:K79" si="31">G76*I76*1.244</f>
        <v>201.88179360000004</v>
      </c>
      <c r="L76" s="5">
        <f t="shared" ref="L76:L79" si="32">G76*I76*2</f>
        <v>324.56880000000007</v>
      </c>
    </row>
    <row r="77" spans="1:12" s="1" customFormat="1">
      <c r="A77" s="1">
        <v>75</v>
      </c>
      <c r="B77" s="7">
        <v>45435</v>
      </c>
      <c r="C77" s="15" t="s">
        <v>251</v>
      </c>
      <c r="D77" s="1" t="s">
        <v>54</v>
      </c>
      <c r="E77" s="10" t="s">
        <v>252</v>
      </c>
      <c r="F77" s="1" t="s">
        <v>253</v>
      </c>
      <c r="G77" s="5">
        <v>21.37</v>
      </c>
      <c r="H77" s="3" t="s">
        <v>37</v>
      </c>
      <c r="I77" s="4">
        <v>45</v>
      </c>
      <c r="J77" s="3" t="s">
        <v>37</v>
      </c>
      <c r="K77" s="6">
        <f t="shared" si="31"/>
        <v>1196.2926000000002</v>
      </c>
      <c r="L77" s="6">
        <f t="shared" si="32"/>
        <v>1923.3000000000002</v>
      </c>
    </row>
    <row r="78" spans="1:12" s="1" customFormat="1">
      <c r="A78" s="1">
        <v>76</v>
      </c>
      <c r="B78" s="7">
        <v>45435</v>
      </c>
      <c r="C78" s="15" t="s">
        <v>257</v>
      </c>
      <c r="D78" s="1" t="s">
        <v>90</v>
      </c>
      <c r="E78" s="10" t="s">
        <v>258</v>
      </c>
      <c r="G78" s="5">
        <f>580.72/37.35/250</f>
        <v>6.2192235609103079E-2</v>
      </c>
      <c r="H78" s="3">
        <v>250</v>
      </c>
      <c r="I78" s="4">
        <v>45</v>
      </c>
      <c r="J78" s="3">
        <f>G78*H78*I78*1.1</f>
        <v>769.62891566265057</v>
      </c>
      <c r="K78" s="6">
        <f t="shared" si="31"/>
        <v>3.4815213493975903</v>
      </c>
      <c r="L78" s="6">
        <f t="shared" si="32"/>
        <v>5.597301204819277</v>
      </c>
    </row>
    <row r="79" spans="1:12" s="1" customFormat="1">
      <c r="A79" s="1">
        <v>72</v>
      </c>
      <c r="B79" s="7">
        <v>45440</v>
      </c>
      <c r="C79" s="15" t="s">
        <v>261</v>
      </c>
      <c r="D79" s="1" t="s">
        <v>90</v>
      </c>
      <c r="E79" s="10" t="s">
        <v>262</v>
      </c>
      <c r="F79" s="1" t="s">
        <v>267</v>
      </c>
      <c r="G79" s="19">
        <f>104.4/38.55*1.22/100</f>
        <v>3.3039688715953308E-2</v>
      </c>
      <c r="H79" s="3">
        <v>250</v>
      </c>
      <c r="I79" s="4">
        <v>45</v>
      </c>
      <c r="J79" s="18">
        <f>G79*250*I79*1.1</f>
        <v>408.86614785992231</v>
      </c>
      <c r="K79" s="5">
        <f t="shared" si="31"/>
        <v>1.849561774319066</v>
      </c>
      <c r="L79" s="5">
        <f t="shared" si="32"/>
        <v>2.9735719844357975</v>
      </c>
    </row>
    <row r="80" spans="1:12" s="1" customFormat="1">
      <c r="A80" s="1">
        <v>73</v>
      </c>
      <c r="B80" s="7">
        <v>45440</v>
      </c>
      <c r="C80" s="15" t="s">
        <v>265</v>
      </c>
      <c r="D80" s="1" t="s">
        <v>90</v>
      </c>
      <c r="E80" s="10" t="s">
        <v>263</v>
      </c>
      <c r="F80" s="1" t="s">
        <v>268</v>
      </c>
      <c r="G80" s="19">
        <f>69.9/38.55*1.22/100</f>
        <v>2.2121400778210121E-2</v>
      </c>
      <c r="H80" s="3">
        <v>500</v>
      </c>
      <c r="I80" s="4">
        <v>45</v>
      </c>
      <c r="J80" s="18">
        <f>G80*500*I80*1.1</f>
        <v>547.50466926070055</v>
      </c>
      <c r="K80" s="5">
        <f t="shared" ref="K80" si="33">G80*I80*1.244</f>
        <v>1.2383560155642026</v>
      </c>
      <c r="L80" s="5">
        <f t="shared" ref="L80" si="34">G80*I80*2</f>
        <v>1.9909260700389109</v>
      </c>
    </row>
    <row r="81" spans="1:13" s="1" customFormat="1">
      <c r="A81" s="1">
        <v>74</v>
      </c>
      <c r="B81" s="7">
        <v>45440</v>
      </c>
      <c r="C81" s="15" t="s">
        <v>264</v>
      </c>
      <c r="D81" s="1" t="s">
        <v>90</v>
      </c>
      <c r="E81" s="10" t="s">
        <v>266</v>
      </c>
      <c r="F81" s="1" t="s">
        <v>269</v>
      </c>
      <c r="G81" s="20">
        <f>120.64/38.55*1.22/100</f>
        <v>3.8179195849546051E-2</v>
      </c>
      <c r="H81" s="3">
        <v>250</v>
      </c>
      <c r="I81" s="4">
        <v>45</v>
      </c>
      <c r="J81" s="18">
        <f>G81*250*I81*1.1</f>
        <v>472.46754863813237</v>
      </c>
      <c r="K81" s="5">
        <f t="shared" ref="K81" si="35">G81*I81*1.244</f>
        <v>2.1372713836575881</v>
      </c>
      <c r="L81" s="5">
        <f t="shared" ref="L81" si="36">G81*I81*2</f>
        <v>3.4361276264591445</v>
      </c>
    </row>
    <row r="82" spans="1:13" s="1" customFormat="1">
      <c r="A82" s="1">
        <v>75</v>
      </c>
      <c r="B82" s="7">
        <v>45440</v>
      </c>
      <c r="C82" s="15" t="s">
        <v>270</v>
      </c>
      <c r="D82" s="1" t="s">
        <v>90</v>
      </c>
      <c r="E82" s="10" t="s">
        <v>271</v>
      </c>
      <c r="F82" s="1" t="s">
        <v>272</v>
      </c>
      <c r="G82" s="20">
        <f>76.6/38.55*1.22/100</f>
        <v>2.4241763942931257E-2</v>
      </c>
      <c r="H82" s="3">
        <v>500</v>
      </c>
      <c r="I82" s="4">
        <v>45</v>
      </c>
      <c r="J82" s="18">
        <f>G82*500*I82*1.1</f>
        <v>599.98365758754858</v>
      </c>
      <c r="K82" s="5">
        <f t="shared" ref="K82" si="37">G82*I82*1.244</f>
        <v>1.3570539455252917</v>
      </c>
      <c r="L82" s="5">
        <f t="shared" ref="L82" si="38">G82*I82*2</f>
        <v>2.1817587548638131</v>
      </c>
    </row>
    <row r="83" spans="1:13" s="1" customFormat="1">
      <c r="A83" s="1">
        <v>76</v>
      </c>
      <c r="B83" s="7">
        <v>45440</v>
      </c>
      <c r="D83" s="1" t="s">
        <v>90</v>
      </c>
      <c r="E83" s="10" t="s">
        <v>273</v>
      </c>
      <c r="G83" s="5">
        <f>178.61*1.22</f>
        <v>217.9042</v>
      </c>
      <c r="H83" s="3">
        <v>12</v>
      </c>
    </row>
    <row r="84" spans="1:13" s="1" customFormat="1">
      <c r="A84" s="1">
        <v>77</v>
      </c>
      <c r="B84" s="7">
        <v>45455</v>
      </c>
      <c r="D84" s="1" t="s">
        <v>288</v>
      </c>
      <c r="E84" s="1" t="s">
        <v>290</v>
      </c>
      <c r="F84" s="1" t="s">
        <v>13</v>
      </c>
      <c r="G84" s="5">
        <f>0.15*1.22*39.1</f>
        <v>7.1553000000000004</v>
      </c>
      <c r="H84" s="3"/>
      <c r="I84" s="4">
        <v>1</v>
      </c>
      <c r="J84" s="15" t="s">
        <v>37</v>
      </c>
      <c r="K84" s="16">
        <f t="shared" ref="K84:K89" si="39">G84*I84*1.244</f>
        <v>8.9011931999999998</v>
      </c>
      <c r="L84" s="16">
        <f t="shared" ref="L84:L89" si="40">G84*I84*2</f>
        <v>14.310600000000001</v>
      </c>
    </row>
    <row r="85" spans="1:13" s="1" customFormat="1">
      <c r="A85" s="1">
        <v>78</v>
      </c>
      <c r="B85" s="7">
        <v>45455</v>
      </c>
      <c r="D85" s="1" t="s">
        <v>288</v>
      </c>
      <c r="E85" s="1" t="s">
        <v>291</v>
      </c>
      <c r="G85" s="5">
        <f>0.14*1.22</f>
        <v>0.17080000000000001</v>
      </c>
      <c r="H85" s="3" t="s">
        <v>37</v>
      </c>
      <c r="I85" s="4">
        <v>45</v>
      </c>
      <c r="J85" s="1" t="s">
        <v>37</v>
      </c>
      <c r="K85" s="6">
        <f t="shared" si="39"/>
        <v>9.5613840000000003</v>
      </c>
      <c r="L85" s="6">
        <f t="shared" si="40"/>
        <v>15.372</v>
      </c>
    </row>
    <row r="86" spans="1:13" s="1" customFormat="1">
      <c r="A86" s="1">
        <v>79</v>
      </c>
      <c r="B86" s="7">
        <v>45455</v>
      </c>
      <c r="D86" s="1" t="s">
        <v>288</v>
      </c>
      <c r="E86" s="1" t="s">
        <v>292</v>
      </c>
      <c r="F86" s="1" t="s">
        <v>13</v>
      </c>
      <c r="G86" s="5">
        <f>0.065*1.22</f>
        <v>7.9299999999999995E-2</v>
      </c>
      <c r="H86" s="3" t="s">
        <v>37</v>
      </c>
      <c r="I86" s="4">
        <v>45</v>
      </c>
      <c r="J86" s="3" t="s">
        <v>37</v>
      </c>
      <c r="K86" s="6">
        <f t="shared" si="39"/>
        <v>4.4392139999999998</v>
      </c>
      <c r="L86" s="6">
        <f t="shared" si="40"/>
        <v>7.1369999999999996</v>
      </c>
    </row>
    <row r="87" spans="1:13" s="1" customFormat="1">
      <c r="A87" s="1">
        <v>80</v>
      </c>
      <c r="B87" s="7">
        <v>45455</v>
      </c>
      <c r="D87" s="1" t="s">
        <v>288</v>
      </c>
      <c r="E87" s="1" t="s">
        <v>293</v>
      </c>
      <c r="F87" s="1" t="s">
        <v>21</v>
      </c>
      <c r="G87" s="5">
        <f>0.57*1.22</f>
        <v>0.69539999999999991</v>
      </c>
      <c r="H87" s="3" t="s">
        <v>37</v>
      </c>
      <c r="I87" s="4">
        <v>45</v>
      </c>
      <c r="J87" s="1" t="s">
        <v>37</v>
      </c>
      <c r="K87" s="6">
        <f t="shared" si="39"/>
        <v>38.928491999999991</v>
      </c>
      <c r="L87" s="6">
        <f t="shared" si="40"/>
        <v>62.585999999999991</v>
      </c>
    </row>
    <row r="88" spans="1:13" s="1" customFormat="1">
      <c r="A88" s="1">
        <v>81</v>
      </c>
      <c r="B88" s="7">
        <v>45455</v>
      </c>
      <c r="D88" s="1" t="s">
        <v>288</v>
      </c>
      <c r="E88" s="1" t="s">
        <v>297</v>
      </c>
      <c r="F88" s="1" t="s">
        <v>296</v>
      </c>
      <c r="G88" s="1">
        <f>0.7*1.22</f>
        <v>0.85399999999999998</v>
      </c>
      <c r="H88" s="3" t="s">
        <v>37</v>
      </c>
      <c r="I88" s="4">
        <v>45</v>
      </c>
      <c r="J88" s="3" t="s">
        <v>37</v>
      </c>
      <c r="K88" s="6">
        <f t="shared" si="39"/>
        <v>47.806919999999998</v>
      </c>
      <c r="L88" s="6">
        <f t="shared" si="40"/>
        <v>76.86</v>
      </c>
    </row>
    <row r="89" spans="1:13" s="1" customFormat="1">
      <c r="A89" s="1">
        <v>82</v>
      </c>
      <c r="B89" s="7">
        <v>45455</v>
      </c>
      <c r="C89" s="1" t="s">
        <v>299</v>
      </c>
      <c r="D89" s="1" t="s">
        <v>70</v>
      </c>
      <c r="E89" s="1" t="s">
        <v>298</v>
      </c>
      <c r="F89" s="1" t="s">
        <v>296</v>
      </c>
      <c r="G89" s="6">
        <f>2505.96*1.22/200</f>
        <v>15.286356000000001</v>
      </c>
      <c r="H89" s="3" t="s">
        <v>37</v>
      </c>
      <c r="I89" s="4">
        <v>45</v>
      </c>
      <c r="J89" s="3" t="s">
        <v>37</v>
      </c>
      <c r="K89" s="6">
        <f t="shared" si="39"/>
        <v>855.73020888000008</v>
      </c>
      <c r="L89" s="6">
        <f t="shared" si="40"/>
        <v>1375.7720400000001</v>
      </c>
    </row>
    <row r="90" spans="1:13" s="1" customFormat="1">
      <c r="A90" s="1">
        <v>83</v>
      </c>
      <c r="B90" s="7">
        <v>45455</v>
      </c>
      <c r="D90" s="1" t="s">
        <v>288</v>
      </c>
      <c r="E90" s="1" t="s">
        <v>300</v>
      </c>
      <c r="F90" s="1" t="s">
        <v>296</v>
      </c>
      <c r="G90" s="5">
        <f>0.57*1.22</f>
        <v>0.69539999999999991</v>
      </c>
      <c r="H90" s="3" t="s">
        <v>37</v>
      </c>
      <c r="I90" s="4">
        <v>45</v>
      </c>
      <c r="J90" s="3" t="s">
        <v>37</v>
      </c>
      <c r="K90" s="6">
        <f t="shared" ref="K90:K92" si="41">G90*I90*1.244</f>
        <v>38.928491999999991</v>
      </c>
      <c r="L90" s="6">
        <f t="shared" ref="L90:L92" si="42">G90*I90*2</f>
        <v>62.585999999999991</v>
      </c>
    </row>
    <row r="91" spans="1:13" s="1" customFormat="1">
      <c r="A91" s="1">
        <v>84</v>
      </c>
      <c r="B91" s="7">
        <v>45455</v>
      </c>
      <c r="D91" s="1" t="s">
        <v>288</v>
      </c>
      <c r="E91" s="1" t="s">
        <v>301</v>
      </c>
      <c r="F91" s="1" t="s">
        <v>20</v>
      </c>
      <c r="G91" s="5">
        <f>0.08*1.22</f>
        <v>9.7600000000000006E-2</v>
      </c>
      <c r="H91" s="3" t="s">
        <v>37</v>
      </c>
      <c r="I91" s="4">
        <v>45</v>
      </c>
      <c r="J91" s="3" t="s">
        <v>37</v>
      </c>
      <c r="K91" s="6">
        <f t="shared" si="41"/>
        <v>5.4636480000000001</v>
      </c>
      <c r="L91" s="6">
        <f t="shared" si="42"/>
        <v>8.7840000000000007</v>
      </c>
    </row>
    <row r="92" spans="1:13" s="1" customFormat="1">
      <c r="A92" s="1">
        <v>85</v>
      </c>
      <c r="B92" s="7">
        <v>45455</v>
      </c>
      <c r="D92" s="1" t="s">
        <v>288</v>
      </c>
      <c r="E92" s="1" t="s">
        <v>305</v>
      </c>
      <c r="F92" s="1" t="s">
        <v>21</v>
      </c>
      <c r="G92" s="5">
        <f>0.054*1.22</f>
        <v>6.5879999999999994E-2</v>
      </c>
      <c r="H92" s="3"/>
      <c r="I92" s="4">
        <v>45</v>
      </c>
      <c r="J92" s="3" t="s">
        <v>37</v>
      </c>
      <c r="K92" s="6">
        <f t="shared" si="41"/>
        <v>3.6879624</v>
      </c>
      <c r="L92" s="6">
        <f t="shared" si="42"/>
        <v>5.9291999999999998</v>
      </c>
      <c r="M92" s="1" t="s">
        <v>309</v>
      </c>
    </row>
    <row r="93" spans="1:13" s="1" customFormat="1">
      <c r="A93" s="1">
        <v>86</v>
      </c>
      <c r="B93" s="7">
        <v>45455</v>
      </c>
      <c r="C93" s="1" t="s">
        <v>307</v>
      </c>
      <c r="D93" s="1" t="s">
        <v>90</v>
      </c>
      <c r="E93" s="1" t="s">
        <v>306</v>
      </c>
      <c r="G93" s="5">
        <f>4045.25*1.22/450</f>
        <v>10.967122222222223</v>
      </c>
      <c r="H93" s="3" t="s">
        <v>308</v>
      </c>
      <c r="I93" s="4">
        <v>1</v>
      </c>
      <c r="J93" s="3" t="s">
        <v>37</v>
      </c>
      <c r="K93" s="6">
        <f t="shared" ref="K93" si="43">G93*I93*1.244</f>
        <v>13.643100044444445</v>
      </c>
      <c r="L93" s="6">
        <f t="shared" ref="L93" si="44">G93*I93*2</f>
        <v>21.934244444444445</v>
      </c>
    </row>
    <row r="94" spans="1:13" s="23" customFormat="1">
      <c r="B94" s="24"/>
      <c r="D94" s="23" t="s">
        <v>310</v>
      </c>
      <c r="E94" s="23" t="s">
        <v>311</v>
      </c>
      <c r="F94" s="23" t="s">
        <v>13</v>
      </c>
      <c r="G94" s="23">
        <f>8*1.22</f>
        <v>9.76</v>
      </c>
    </row>
    <row r="95" spans="1:13" s="25" customFormat="1">
      <c r="D95" s="25" t="s">
        <v>310</v>
      </c>
      <c r="E95" s="25" t="s">
        <v>297</v>
      </c>
      <c r="F95" s="26" t="s">
        <v>296</v>
      </c>
      <c r="G95" s="25">
        <f>29*1.22</f>
        <v>35.380000000000003</v>
      </c>
      <c r="H95" s="25" t="s">
        <v>37</v>
      </c>
      <c r="I95" s="25">
        <v>1</v>
      </c>
      <c r="J95" s="25" t="s">
        <v>37</v>
      </c>
      <c r="K95" s="27">
        <f t="shared" ref="K95:K96" si="45">G95*I95*1.244</f>
        <v>44.012720000000002</v>
      </c>
      <c r="L95" s="27">
        <f t="shared" ref="L95:L96" si="46">G95*I95*2</f>
        <v>70.760000000000005</v>
      </c>
    </row>
    <row r="96" spans="1:13" s="28" customFormat="1">
      <c r="D96" s="28" t="s">
        <v>310</v>
      </c>
      <c r="E96" s="29" t="s">
        <v>312</v>
      </c>
      <c r="F96" s="29" t="s">
        <v>296</v>
      </c>
      <c r="G96" s="28">
        <f>8*1.22</f>
        <v>9.76</v>
      </c>
      <c r="I96" s="30">
        <v>1</v>
      </c>
      <c r="J96" s="31" t="s">
        <v>37</v>
      </c>
      <c r="K96" s="32">
        <f t="shared" si="45"/>
        <v>12.141439999999999</v>
      </c>
      <c r="L96" s="32">
        <f t="shared" si="46"/>
        <v>19.52</v>
      </c>
    </row>
  </sheetData>
  <autoFilter ref="A3:M95">
    <filterColumn colId="4"/>
  </autoFilter>
  <sortState ref="A4:L27">
    <sortCondition ref="A4:A27"/>
  </sortState>
  <mergeCells count="1">
    <mergeCell ref="A1:L2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4"/>
  <sheetViews>
    <sheetView tabSelected="1" topLeftCell="C1" workbookViewId="0">
      <pane ySplit="3" topLeftCell="A43" activePane="bottomLeft" state="frozen"/>
      <selection pane="bottomLeft" activeCell="K14" sqref="K14"/>
    </sheetView>
  </sheetViews>
  <sheetFormatPr baseColWidth="10" defaultRowHeight="15"/>
  <cols>
    <col min="3" max="3" width="12" bestFit="1" customWidth="1"/>
    <col min="5" max="5" width="34.42578125" bestFit="1" customWidth="1"/>
    <col min="6" max="6" width="13" bestFit="1" customWidth="1"/>
    <col min="7" max="7" width="14" customWidth="1"/>
    <col min="8" max="8" width="18.28515625" bestFit="1" customWidth="1"/>
    <col min="9" max="9" width="12" bestFit="1" customWidth="1"/>
    <col min="10" max="10" width="14.5703125" bestFit="1" customWidth="1"/>
    <col min="11" max="11" width="24" bestFit="1" customWidth="1"/>
    <col min="12" max="12" width="24.42578125" bestFit="1" customWidth="1"/>
    <col min="13" max="13" width="15.85546875" bestFit="1" customWidth="1"/>
  </cols>
  <sheetData>
    <row r="1" spans="1:1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s="1" customFormat="1" ht="14.25" customHeight="1">
      <c r="A3" s="1" t="s">
        <v>45</v>
      </c>
      <c r="B3" s="1" t="s">
        <v>44</v>
      </c>
      <c r="C3" s="1" t="s">
        <v>38</v>
      </c>
      <c r="D3" s="1" t="s">
        <v>39</v>
      </c>
      <c r="E3" s="1" t="s">
        <v>1</v>
      </c>
      <c r="F3" s="1" t="s">
        <v>2</v>
      </c>
      <c r="G3" s="1" t="s">
        <v>3</v>
      </c>
      <c r="H3" s="1" t="s">
        <v>4</v>
      </c>
      <c r="I3" s="2" t="s">
        <v>18</v>
      </c>
      <c r="J3" s="2" t="s">
        <v>104</v>
      </c>
      <c r="K3" s="1" t="s">
        <v>208</v>
      </c>
      <c r="L3" s="1" t="s">
        <v>23</v>
      </c>
      <c r="M3" s="3" t="s">
        <v>52</v>
      </c>
    </row>
    <row r="4" spans="1:13">
      <c r="A4">
        <v>1</v>
      </c>
      <c r="B4" s="7">
        <v>44721</v>
      </c>
      <c r="C4" s="1">
        <v>5040</v>
      </c>
      <c r="D4" s="1" t="s">
        <v>41</v>
      </c>
      <c r="E4" s="1" t="s">
        <v>51</v>
      </c>
      <c r="F4" s="1" t="s">
        <v>37</v>
      </c>
      <c r="G4" s="5">
        <v>4.0951599999999999</v>
      </c>
      <c r="H4" s="3">
        <v>20</v>
      </c>
      <c r="I4" s="4">
        <v>45</v>
      </c>
      <c r="J4" s="4">
        <v>1</v>
      </c>
      <c r="K4" s="8">
        <f>G4*H4*I4*J4*1.1</f>
        <v>4054.2084</v>
      </c>
      <c r="L4" s="6">
        <f>G4*I4*J4*1.2</f>
        <v>221.13863999999998</v>
      </c>
      <c r="M4" s="6">
        <v>220</v>
      </c>
    </row>
    <row r="5" spans="1:13">
      <c r="A5" s="1">
        <v>2</v>
      </c>
      <c r="B5" s="7">
        <v>44616</v>
      </c>
      <c r="C5" s="1">
        <v>20892188020</v>
      </c>
      <c r="D5" s="1" t="s">
        <v>90</v>
      </c>
      <c r="E5" s="1" t="s">
        <v>108</v>
      </c>
      <c r="F5" s="1" t="s">
        <v>37</v>
      </c>
      <c r="G5" s="5">
        <f>191/37.35*1.22</f>
        <v>6.2388219544846049</v>
      </c>
      <c r="H5" s="3">
        <v>6</v>
      </c>
      <c r="I5" s="4">
        <v>45</v>
      </c>
      <c r="J5" s="4">
        <v>1</v>
      </c>
      <c r="K5" s="8">
        <f t="shared" ref="K5:K7" si="0">G5*H5*I5*J5*1.1</f>
        <v>1852.9301204819276</v>
      </c>
      <c r="L5" s="6">
        <f t="shared" ref="L5:L7" si="1">G5*I5*J5*1.2</f>
        <v>336.89638554216867</v>
      </c>
      <c r="M5" s="6">
        <f>G5*I5*J5*1.3</f>
        <v>364.9710843373494</v>
      </c>
    </row>
    <row r="6" spans="1:13">
      <c r="A6" s="1">
        <v>3</v>
      </c>
      <c r="B6" s="7">
        <v>44616</v>
      </c>
      <c r="C6" s="1" t="s">
        <v>99</v>
      </c>
      <c r="D6" s="1" t="s">
        <v>100</v>
      </c>
      <c r="E6" s="1" t="s">
        <v>101</v>
      </c>
      <c r="F6" s="34">
        <v>25</v>
      </c>
      <c r="G6" s="5">
        <v>5.5545</v>
      </c>
      <c r="H6" s="3">
        <v>7.75</v>
      </c>
      <c r="I6" s="4">
        <v>45</v>
      </c>
      <c r="J6" s="4">
        <v>1</v>
      </c>
      <c r="K6" s="8">
        <f t="shared" si="0"/>
        <v>2130.8450625</v>
      </c>
      <c r="L6" s="6">
        <f t="shared" si="1"/>
        <v>299.94299999999998</v>
      </c>
      <c r="M6" s="6">
        <f t="shared" ref="M6:M7" si="2">G6*I6*J6*1.3</f>
        <v>324.93824999999998</v>
      </c>
    </row>
    <row r="7" spans="1:13">
      <c r="A7" s="1">
        <v>4</v>
      </c>
      <c r="B7" s="7">
        <v>44616</v>
      </c>
      <c r="C7" s="1" t="s">
        <v>102</v>
      </c>
      <c r="D7" s="1" t="s">
        <v>100</v>
      </c>
      <c r="E7" s="1" t="s">
        <v>103</v>
      </c>
      <c r="F7" s="34">
        <v>25</v>
      </c>
      <c r="G7" s="5">
        <v>5.5545</v>
      </c>
      <c r="H7" s="3">
        <v>7.35</v>
      </c>
      <c r="I7" s="4">
        <v>45</v>
      </c>
      <c r="J7" s="4">
        <v>1</v>
      </c>
      <c r="K7" s="8">
        <f t="shared" si="0"/>
        <v>2020.8659625000003</v>
      </c>
      <c r="L7" s="6">
        <f t="shared" si="1"/>
        <v>299.94299999999998</v>
      </c>
      <c r="M7" s="6">
        <f t="shared" si="2"/>
        <v>324.93824999999998</v>
      </c>
    </row>
    <row r="8" spans="1:13">
      <c r="A8" s="1">
        <v>5</v>
      </c>
      <c r="B8" s="7">
        <v>44616</v>
      </c>
      <c r="C8" s="1" t="s">
        <v>105</v>
      </c>
      <c r="D8" s="1" t="s">
        <v>100</v>
      </c>
      <c r="E8" s="1" t="s">
        <v>106</v>
      </c>
      <c r="F8" s="1" t="s">
        <v>107</v>
      </c>
      <c r="G8" s="5">
        <v>8.5574999999999992</v>
      </c>
      <c r="H8" s="3">
        <v>3.4</v>
      </c>
      <c r="I8" s="4">
        <v>45</v>
      </c>
      <c r="J8" s="4">
        <v>1</v>
      </c>
      <c r="K8" s="8">
        <f t="shared" ref="K8" si="3">G8*H8*I8*J8*1.1</f>
        <v>1440.2272499999999</v>
      </c>
      <c r="L8" s="6">
        <f t="shared" ref="L8" si="4">G8*I8*J8*1.2</f>
        <v>462.10499999999996</v>
      </c>
      <c r="M8" s="6">
        <f t="shared" ref="M8" si="5">G8*I8*J8*1.3</f>
        <v>500.61374999999998</v>
      </c>
    </row>
    <row r="9" spans="1:13">
      <c r="A9" s="1">
        <v>6</v>
      </c>
      <c r="B9" s="7">
        <v>44631</v>
      </c>
      <c r="C9" s="1" t="s">
        <v>114</v>
      </c>
      <c r="D9" s="1" t="s">
        <v>54</v>
      </c>
      <c r="E9" s="1" t="s">
        <v>115</v>
      </c>
      <c r="F9" s="1" t="s">
        <v>55</v>
      </c>
      <c r="G9" s="5">
        <v>8.67</v>
      </c>
      <c r="H9" s="3">
        <v>5.54</v>
      </c>
      <c r="I9" s="4">
        <v>45</v>
      </c>
      <c r="J9" s="4">
        <v>1</v>
      </c>
      <c r="K9" s="8">
        <f t="shared" ref="K9" si="6">G9*H9*I9*J9*1.1</f>
        <v>2377.5741000000003</v>
      </c>
      <c r="L9" s="6">
        <f t="shared" ref="L9" si="7">G9*I9*J9*1.2</f>
        <v>468.17999999999995</v>
      </c>
      <c r="M9" s="6">
        <f t="shared" ref="M9" si="8">G9*I9*J9*1.3</f>
        <v>507.19499999999999</v>
      </c>
    </row>
    <row r="10" spans="1:13">
      <c r="A10" s="1">
        <v>7</v>
      </c>
      <c r="B10" s="7">
        <v>44631</v>
      </c>
      <c r="C10" s="1" t="s">
        <v>116</v>
      </c>
      <c r="D10" s="1" t="s">
        <v>54</v>
      </c>
      <c r="E10" s="1" t="s">
        <v>117</v>
      </c>
      <c r="F10" s="1" t="s">
        <v>55</v>
      </c>
      <c r="G10" s="5">
        <v>0.69540000000000002</v>
      </c>
      <c r="H10" s="3">
        <v>200</v>
      </c>
      <c r="I10" s="4">
        <v>45</v>
      </c>
      <c r="J10" s="4">
        <v>1</v>
      </c>
      <c r="K10" s="8">
        <f t="shared" ref="K10:K12" si="9">G10*H10*I10*J10*1.1</f>
        <v>6884.4600000000009</v>
      </c>
      <c r="L10" s="6">
        <f t="shared" ref="L10:L20" si="10">G10*I10*J10*1.2</f>
        <v>37.551600000000001</v>
      </c>
      <c r="M10" s="6">
        <f t="shared" ref="M10:M12" si="11">G10*I10*J10*1.3</f>
        <v>40.680900000000001</v>
      </c>
    </row>
    <row r="11" spans="1:13">
      <c r="A11" s="1">
        <v>8</v>
      </c>
      <c r="B11" s="7">
        <v>44634</v>
      </c>
      <c r="C11" s="1" t="s">
        <v>122</v>
      </c>
      <c r="D11" s="1" t="s">
        <v>54</v>
      </c>
      <c r="E11" s="1" t="s">
        <v>123</v>
      </c>
      <c r="F11" s="1" t="s">
        <v>93</v>
      </c>
      <c r="G11" s="5">
        <v>0.31292999999999999</v>
      </c>
      <c r="H11" s="3">
        <v>450</v>
      </c>
      <c r="I11" s="4">
        <v>45</v>
      </c>
      <c r="J11" s="4">
        <v>1</v>
      </c>
      <c r="K11" s="8">
        <f t="shared" si="9"/>
        <v>6970.5157500000014</v>
      </c>
      <c r="L11" s="6">
        <f t="shared" si="10"/>
        <v>16.898219999999998</v>
      </c>
      <c r="M11" s="6">
        <f t="shared" si="11"/>
        <v>18.306404999999998</v>
      </c>
    </row>
    <row r="12" spans="1:13">
      <c r="A12" s="1">
        <v>9</v>
      </c>
      <c r="B12" s="7">
        <v>44636</v>
      </c>
      <c r="C12" s="34">
        <v>6999</v>
      </c>
      <c r="D12" s="1" t="s">
        <v>158</v>
      </c>
      <c r="E12" s="1" t="s">
        <v>159</v>
      </c>
      <c r="F12" s="1" t="s">
        <v>160</v>
      </c>
      <c r="G12" s="5">
        <v>1.67</v>
      </c>
      <c r="H12" s="3">
        <v>24</v>
      </c>
      <c r="I12" s="4">
        <v>45</v>
      </c>
      <c r="J12" s="4">
        <v>1</v>
      </c>
      <c r="K12" s="8">
        <f t="shared" si="9"/>
        <v>1983.96</v>
      </c>
      <c r="L12" s="6">
        <f t="shared" si="10"/>
        <v>90.179999999999993</v>
      </c>
      <c r="M12" s="6">
        <f t="shared" si="11"/>
        <v>97.694999999999993</v>
      </c>
    </row>
    <row r="13" spans="1:13">
      <c r="A13" s="1">
        <v>10</v>
      </c>
      <c r="B13" s="7">
        <v>44671</v>
      </c>
      <c r="C13" s="1" t="s">
        <v>162</v>
      </c>
      <c r="D13" s="1" t="s">
        <v>54</v>
      </c>
      <c r="E13" s="1" t="s">
        <v>163</v>
      </c>
      <c r="F13" s="1" t="s">
        <v>98</v>
      </c>
      <c r="G13" s="5">
        <v>0.67222000000000004</v>
      </c>
      <c r="H13" s="3"/>
      <c r="I13" s="4">
        <v>45</v>
      </c>
      <c r="J13" s="4">
        <v>1</v>
      </c>
      <c r="K13" s="6"/>
      <c r="L13" s="5">
        <f t="shared" si="10"/>
        <v>36.299880000000002</v>
      </c>
      <c r="M13" s="5">
        <f>G13*I13*J13*1.54</f>
        <v>46.584845999999999</v>
      </c>
    </row>
    <row r="14" spans="1:13" s="1" customFormat="1">
      <c r="A14" s="1">
        <v>11</v>
      </c>
      <c r="B14" s="7">
        <v>44679</v>
      </c>
      <c r="C14" s="1" t="s">
        <v>173</v>
      </c>
      <c r="D14" s="1" t="s">
        <v>54</v>
      </c>
      <c r="E14" s="1" t="s">
        <v>174</v>
      </c>
      <c r="F14" s="1" t="s">
        <v>37</v>
      </c>
      <c r="G14" s="5">
        <v>5.1523300000000001</v>
      </c>
      <c r="H14" s="3"/>
      <c r="I14" s="4">
        <v>45</v>
      </c>
      <c r="J14" s="4">
        <v>1</v>
      </c>
      <c r="K14" s="6"/>
      <c r="L14" s="6">
        <f t="shared" si="10"/>
        <v>278.22582</v>
      </c>
      <c r="M14" s="6">
        <f>G14*I14*J14*1.3</f>
        <v>301.41130500000003</v>
      </c>
    </row>
    <row r="15" spans="1:13" s="1" customFormat="1">
      <c r="A15" s="1">
        <v>12</v>
      </c>
      <c r="B15" s="7">
        <v>44690</v>
      </c>
      <c r="C15" s="34">
        <v>204</v>
      </c>
      <c r="D15" s="1" t="s">
        <v>175</v>
      </c>
      <c r="E15" s="1" t="s">
        <v>176</v>
      </c>
      <c r="F15" s="1" t="s">
        <v>37</v>
      </c>
      <c r="G15" s="5">
        <v>3.36</v>
      </c>
      <c r="H15" s="3"/>
      <c r="I15" s="4">
        <v>45</v>
      </c>
      <c r="J15" s="4">
        <v>1</v>
      </c>
      <c r="K15" s="6"/>
      <c r="L15" s="6">
        <f t="shared" si="10"/>
        <v>181.43999999999997</v>
      </c>
      <c r="M15" s="6">
        <v>230</v>
      </c>
    </row>
    <row r="16" spans="1:13" s="1" customFormat="1">
      <c r="A16" s="1">
        <v>13</v>
      </c>
      <c r="B16" s="7">
        <v>44693</v>
      </c>
      <c r="C16" s="34">
        <v>466</v>
      </c>
      <c r="D16" s="1" t="s">
        <v>175</v>
      </c>
      <c r="E16" s="1" t="s">
        <v>177</v>
      </c>
      <c r="F16" s="1" t="s">
        <v>37</v>
      </c>
      <c r="G16" s="5">
        <v>1.6953</v>
      </c>
      <c r="H16" s="3"/>
      <c r="I16" s="4">
        <v>45</v>
      </c>
      <c r="J16" s="4">
        <v>1</v>
      </c>
      <c r="K16" s="6"/>
      <c r="L16" s="6">
        <f t="shared" si="10"/>
        <v>91.546199999999999</v>
      </c>
      <c r="M16" s="6">
        <f>G16*I16*J16*1.3</f>
        <v>99.175049999999999</v>
      </c>
    </row>
    <row r="17" spans="1:13">
      <c r="A17" s="1">
        <v>14</v>
      </c>
      <c r="B17" s="7">
        <v>44700</v>
      </c>
      <c r="C17" s="1" t="s">
        <v>178</v>
      </c>
      <c r="D17" s="1" t="s">
        <v>100</v>
      </c>
      <c r="E17" s="1" t="s">
        <v>179</v>
      </c>
      <c r="F17" s="1" t="s">
        <v>180</v>
      </c>
      <c r="G17" s="5">
        <v>8.7149999999999999</v>
      </c>
      <c r="H17" s="3">
        <v>5.2</v>
      </c>
      <c r="I17" s="4">
        <v>45</v>
      </c>
      <c r="J17" s="4">
        <v>1</v>
      </c>
      <c r="K17" s="8">
        <f t="shared" ref="K17:K20" si="12">G17*H17*I17*J17*1.1</f>
        <v>2243.241</v>
      </c>
      <c r="L17" s="6">
        <f t="shared" si="10"/>
        <v>470.61</v>
      </c>
      <c r="M17" s="6">
        <f t="shared" ref="M17:M20" si="13">G17*I17*J17*1.3</f>
        <v>509.82750000000004</v>
      </c>
    </row>
    <row r="18" spans="1:13">
      <c r="A18" s="1">
        <v>15</v>
      </c>
      <c r="B18" s="7">
        <v>44747</v>
      </c>
      <c r="C18" s="34">
        <v>980</v>
      </c>
      <c r="D18" s="1" t="s">
        <v>181</v>
      </c>
      <c r="E18" s="1" t="s">
        <v>182</v>
      </c>
      <c r="F18" s="1" t="s">
        <v>37</v>
      </c>
      <c r="G18" s="5">
        <v>1.8807</v>
      </c>
      <c r="H18" s="3">
        <v>24</v>
      </c>
      <c r="I18" s="4">
        <v>45</v>
      </c>
      <c r="J18" s="4">
        <v>1</v>
      </c>
      <c r="K18" s="8">
        <f t="shared" si="12"/>
        <v>2234.2716</v>
      </c>
      <c r="L18" s="6">
        <f t="shared" si="10"/>
        <v>101.5578</v>
      </c>
      <c r="M18" s="6">
        <f t="shared" si="13"/>
        <v>110.02095000000001</v>
      </c>
    </row>
    <row r="19" spans="1:13">
      <c r="A19" s="1">
        <v>16</v>
      </c>
      <c r="B19" s="7">
        <v>45439</v>
      </c>
      <c r="C19" s="1" t="s">
        <v>183</v>
      </c>
      <c r="D19" s="1" t="s">
        <v>181</v>
      </c>
      <c r="E19" s="1" t="s">
        <v>254</v>
      </c>
      <c r="F19" s="1"/>
      <c r="G19" s="5">
        <f>622.2/200</f>
        <v>3.1110000000000002</v>
      </c>
      <c r="H19" s="3">
        <v>20</v>
      </c>
      <c r="I19" s="4">
        <v>45</v>
      </c>
      <c r="J19" s="4">
        <v>1</v>
      </c>
      <c r="K19" s="8">
        <f t="shared" si="12"/>
        <v>3079.8900000000003</v>
      </c>
      <c r="L19" s="6">
        <f>G19*I19*J19*1.3</f>
        <v>181.99350000000001</v>
      </c>
      <c r="M19" s="6">
        <f>G19*I19*J19*1.6</f>
        <v>223.99200000000002</v>
      </c>
    </row>
    <row r="20" spans="1:13">
      <c r="A20" s="1">
        <v>17</v>
      </c>
      <c r="B20" s="7">
        <v>44789</v>
      </c>
      <c r="C20" s="1" t="s">
        <v>184</v>
      </c>
      <c r="D20" s="1" t="s">
        <v>158</v>
      </c>
      <c r="E20" s="1" t="s">
        <v>185</v>
      </c>
      <c r="F20" s="1" t="s">
        <v>37</v>
      </c>
      <c r="G20" s="5">
        <v>3.72</v>
      </c>
      <c r="H20" s="3">
        <v>25</v>
      </c>
      <c r="I20" s="4">
        <v>45</v>
      </c>
      <c r="J20" s="4">
        <v>1</v>
      </c>
      <c r="K20" s="8">
        <f t="shared" si="12"/>
        <v>4603.5</v>
      </c>
      <c r="L20" s="5">
        <f t="shared" si="10"/>
        <v>200.88</v>
      </c>
      <c r="M20" s="5">
        <f t="shared" si="13"/>
        <v>217.62</v>
      </c>
    </row>
    <row r="21" spans="1:13">
      <c r="A21" s="1">
        <v>18</v>
      </c>
      <c r="B21" s="7">
        <v>44789</v>
      </c>
      <c r="C21" s="1" t="s">
        <v>186</v>
      </c>
      <c r="D21" s="1" t="s">
        <v>158</v>
      </c>
      <c r="E21" s="1" t="s">
        <v>187</v>
      </c>
      <c r="F21" s="1" t="s">
        <v>37</v>
      </c>
      <c r="G21" s="5">
        <v>4.6500000000000004</v>
      </c>
      <c r="H21" s="3">
        <v>25</v>
      </c>
      <c r="I21" s="4">
        <v>45</v>
      </c>
      <c r="J21" s="4">
        <v>1</v>
      </c>
      <c r="K21" s="8">
        <f t="shared" ref="K21" si="14">G21*H21*I21*J21*1.1</f>
        <v>5754.3750000000018</v>
      </c>
      <c r="L21" s="5">
        <f t="shared" ref="L21" si="15">G21*I21*J21*1.2</f>
        <v>251.10000000000002</v>
      </c>
      <c r="M21" s="5">
        <f t="shared" ref="M21" si="16">G21*I21*J21*1.3</f>
        <v>272.02500000000003</v>
      </c>
    </row>
    <row r="22" spans="1:13">
      <c r="A22" s="1">
        <v>19</v>
      </c>
      <c r="B22" s="7">
        <v>44789</v>
      </c>
      <c r="C22" s="1" t="s">
        <v>188</v>
      </c>
      <c r="D22" s="1" t="s">
        <v>158</v>
      </c>
      <c r="E22" s="1" t="s">
        <v>189</v>
      </c>
      <c r="F22" s="1" t="s">
        <v>37</v>
      </c>
      <c r="G22" s="5">
        <v>3.1</v>
      </c>
      <c r="H22" s="3">
        <v>25</v>
      </c>
      <c r="I22" s="4">
        <v>45</v>
      </c>
      <c r="J22" s="4">
        <v>4</v>
      </c>
      <c r="K22" s="8">
        <f t="shared" ref="K22" si="17">G22*H22*I22*J22*1.1</f>
        <v>15345.000000000002</v>
      </c>
      <c r="L22" s="5">
        <f t="shared" ref="L22" si="18">G22*I22*J22*1.2</f>
        <v>669.6</v>
      </c>
      <c r="M22" s="5">
        <f t="shared" ref="M22" si="19">G22*I22*J22*1.3</f>
        <v>725.4</v>
      </c>
    </row>
    <row r="23" spans="1:13">
      <c r="A23" s="1">
        <v>20</v>
      </c>
      <c r="B23" s="7">
        <v>44789</v>
      </c>
      <c r="C23" s="1" t="s">
        <v>190</v>
      </c>
      <c r="D23" s="1" t="s">
        <v>158</v>
      </c>
      <c r="E23" s="1" t="s">
        <v>191</v>
      </c>
      <c r="F23" s="1" t="s">
        <v>37</v>
      </c>
      <c r="G23" s="5">
        <v>5.58</v>
      </c>
      <c r="H23" s="3">
        <v>25</v>
      </c>
      <c r="I23" s="4">
        <v>45</v>
      </c>
      <c r="J23" s="4">
        <v>1</v>
      </c>
      <c r="K23" s="8">
        <f t="shared" ref="K23" si="20">G23*H23*I23*J23*1.1</f>
        <v>6905.2500000000009</v>
      </c>
      <c r="L23" s="5">
        <f t="shared" ref="L23" si="21">G23*I23*J23*1.2</f>
        <v>301.32</v>
      </c>
      <c r="M23" s="5">
        <f t="shared" ref="M23" si="22">G23*I23*J23*1.3</f>
        <v>326.43</v>
      </c>
    </row>
    <row r="24" spans="1:13">
      <c r="A24" s="1">
        <v>21</v>
      </c>
      <c r="B24" s="7">
        <v>44747</v>
      </c>
      <c r="C24" s="34">
        <v>101006</v>
      </c>
      <c r="D24" s="1" t="s">
        <v>181</v>
      </c>
      <c r="E24" s="1" t="s">
        <v>192</v>
      </c>
      <c r="F24" s="1" t="s">
        <v>37</v>
      </c>
      <c r="G24" s="5">
        <v>1.776</v>
      </c>
      <c r="H24" s="3">
        <v>32</v>
      </c>
      <c r="I24" s="4">
        <v>45</v>
      </c>
      <c r="J24" s="4">
        <v>1</v>
      </c>
      <c r="K24" s="8">
        <f t="shared" ref="K24" si="23">G24*H24*I24*J24*1.1</f>
        <v>2813.1840000000002</v>
      </c>
      <c r="L24" s="5">
        <f>G24*I24*J24*1.205</f>
        <v>96.303600000000003</v>
      </c>
      <c r="M24" s="6">
        <f>G24*I24*J24*1.41</f>
        <v>112.68719999999999</v>
      </c>
    </row>
    <row r="25" spans="1:13">
      <c r="A25" s="1">
        <v>22</v>
      </c>
      <c r="B25" s="7">
        <v>45400</v>
      </c>
      <c r="C25" s="34">
        <v>101411</v>
      </c>
      <c r="D25" s="1" t="s">
        <v>181</v>
      </c>
      <c r="E25" s="1" t="s">
        <v>193</v>
      </c>
      <c r="F25" s="1" t="s">
        <v>37</v>
      </c>
      <c r="G25" s="5">
        <v>1.5794999999999999</v>
      </c>
      <c r="H25" s="3">
        <v>12</v>
      </c>
      <c r="I25" s="4">
        <v>45</v>
      </c>
      <c r="J25" s="4">
        <v>1</v>
      </c>
      <c r="K25" s="8">
        <f>G25*I25*H25*1.1</f>
        <v>938.22300000000018</v>
      </c>
      <c r="L25" s="5">
        <f>G25*I25*J25*1.285</f>
        <v>91.334587499999998</v>
      </c>
      <c r="M25" s="5">
        <f>G25*I25*J25*1.47</f>
        <v>104.483925</v>
      </c>
    </row>
    <row r="26" spans="1:13">
      <c r="A26" s="1">
        <v>23</v>
      </c>
      <c r="B26" s="7">
        <v>44747</v>
      </c>
      <c r="C26" s="34">
        <v>101425</v>
      </c>
      <c r="D26" s="1" t="s">
        <v>181</v>
      </c>
      <c r="E26" s="1" t="s">
        <v>194</v>
      </c>
      <c r="F26" s="1" t="s">
        <v>37</v>
      </c>
      <c r="G26" s="5">
        <f>2548.6*1.22/20</f>
        <v>155.46459999999999</v>
      </c>
      <c r="H26" s="3">
        <v>20</v>
      </c>
      <c r="I26" s="4">
        <v>1</v>
      </c>
      <c r="J26" s="4">
        <v>1</v>
      </c>
      <c r="K26" s="8"/>
      <c r="L26" s="5">
        <f t="shared" ref="L26:L29" si="24">G26*I26*J26*1.2</f>
        <v>186.55751999999998</v>
      </c>
      <c r="M26" s="5">
        <f t="shared" ref="M26:M29" si="25">G26*I26*J26*1.3</f>
        <v>202.10398000000001</v>
      </c>
    </row>
    <row r="27" spans="1:13">
      <c r="A27" s="1">
        <v>24</v>
      </c>
      <c r="B27" s="7">
        <v>44998</v>
      </c>
      <c r="C27" s="34">
        <v>101775</v>
      </c>
      <c r="D27" s="1" t="s">
        <v>181</v>
      </c>
      <c r="E27" s="1" t="s">
        <v>195</v>
      </c>
      <c r="F27" s="1" t="s">
        <v>37</v>
      </c>
      <c r="G27" s="5">
        <v>3.5276999999999998</v>
      </c>
      <c r="H27" s="3" t="s">
        <v>37</v>
      </c>
      <c r="I27" s="4">
        <v>45</v>
      </c>
      <c r="J27" s="4">
        <v>1</v>
      </c>
      <c r="K27" s="8"/>
      <c r="L27" s="5">
        <f t="shared" si="24"/>
        <v>190.4958</v>
      </c>
      <c r="M27" s="5">
        <f t="shared" si="25"/>
        <v>206.37045000000001</v>
      </c>
    </row>
    <row r="28" spans="1:13">
      <c r="A28" s="1">
        <v>25</v>
      </c>
      <c r="B28" s="7">
        <v>44831</v>
      </c>
      <c r="C28" s="1" t="s">
        <v>196</v>
      </c>
      <c r="D28" s="1" t="s">
        <v>181</v>
      </c>
      <c r="E28" s="1" t="s">
        <v>197</v>
      </c>
      <c r="F28" s="1" t="s">
        <v>37</v>
      </c>
      <c r="G28" s="5">
        <v>4.6853999999999996</v>
      </c>
      <c r="H28" s="3">
        <v>12</v>
      </c>
      <c r="I28" s="4">
        <v>45</v>
      </c>
      <c r="J28" s="4">
        <v>1</v>
      </c>
      <c r="K28" s="8">
        <f t="shared" ref="K28" si="26">G28*H28*I28*J28*1.1</f>
        <v>2783.1276000000003</v>
      </c>
      <c r="L28" s="5">
        <f t="shared" si="24"/>
        <v>253.01159999999999</v>
      </c>
      <c r="M28" s="5">
        <f t="shared" si="25"/>
        <v>274.09589999999997</v>
      </c>
    </row>
    <row r="29" spans="1:13">
      <c r="A29" s="1">
        <v>26</v>
      </c>
      <c r="B29" s="7">
        <v>44839</v>
      </c>
      <c r="C29" s="1" t="s">
        <v>198</v>
      </c>
      <c r="D29" s="1" t="s">
        <v>181</v>
      </c>
      <c r="E29" s="1" t="s">
        <v>199</v>
      </c>
      <c r="F29" s="1" t="s">
        <v>37</v>
      </c>
      <c r="G29" s="5">
        <v>1.9397</v>
      </c>
      <c r="H29" s="3">
        <v>6</v>
      </c>
      <c r="I29" s="4">
        <v>45</v>
      </c>
      <c r="J29" s="4">
        <v>1</v>
      </c>
      <c r="K29" s="8">
        <f t="shared" ref="K29" si="27">G29*H29*I29*J29*1.1</f>
        <v>576.09090000000003</v>
      </c>
      <c r="L29" s="5">
        <f t="shared" si="24"/>
        <v>104.74380000000001</v>
      </c>
      <c r="M29" s="5">
        <f t="shared" si="25"/>
        <v>113.47245000000001</v>
      </c>
    </row>
    <row r="30" spans="1:13" s="1" customFormat="1">
      <c r="A30" s="1">
        <v>27</v>
      </c>
      <c r="B30" s="7">
        <v>44840</v>
      </c>
      <c r="C30" s="1" t="s">
        <v>200</v>
      </c>
      <c r="D30" s="1" t="s">
        <v>181</v>
      </c>
      <c r="E30" s="1" t="s">
        <v>201</v>
      </c>
      <c r="F30" s="1" t="s">
        <v>37</v>
      </c>
      <c r="G30" s="5">
        <v>2.25</v>
      </c>
      <c r="H30" s="3">
        <v>6</v>
      </c>
      <c r="I30" s="4">
        <v>45</v>
      </c>
      <c r="J30" s="4">
        <v>1</v>
      </c>
      <c r="K30" s="8">
        <f t="shared" ref="K30" si="28">G30*H30*I30*J30*1.1</f>
        <v>668.25</v>
      </c>
      <c r="L30" s="5">
        <f t="shared" ref="L30" si="29">G30*I30*J30*1.2</f>
        <v>121.5</v>
      </c>
      <c r="M30" s="5">
        <f t="shared" ref="M30" si="30">G30*I30*J30*1.3</f>
        <v>131.625</v>
      </c>
    </row>
    <row r="31" spans="1:13">
      <c r="A31" s="1">
        <v>28</v>
      </c>
      <c r="B31" s="9">
        <v>44840</v>
      </c>
      <c r="C31" s="1" t="s">
        <v>202</v>
      </c>
      <c r="D31" s="1" t="s">
        <v>181</v>
      </c>
      <c r="E31" s="1" t="s">
        <v>203</v>
      </c>
      <c r="F31" s="1" t="s">
        <v>37</v>
      </c>
      <c r="G31" s="5">
        <v>4.1902999999999997</v>
      </c>
      <c r="H31" s="3">
        <v>12</v>
      </c>
      <c r="I31" s="4">
        <v>45</v>
      </c>
      <c r="J31" s="4">
        <v>1</v>
      </c>
      <c r="K31" s="8">
        <f t="shared" ref="K31" si="31">G31*H31*I31*J31*1.1</f>
        <v>2489.0382</v>
      </c>
      <c r="L31" s="5">
        <f t="shared" ref="L31" si="32">G31*I31*J31*1.2</f>
        <v>226.27619999999996</v>
      </c>
      <c r="M31" s="5">
        <f t="shared" ref="M31" si="33">G31*I31*J31*1.3</f>
        <v>245.13254999999998</v>
      </c>
    </row>
    <row r="32" spans="1:13">
      <c r="A32" s="1">
        <v>29</v>
      </c>
      <c r="B32" s="9">
        <v>44840</v>
      </c>
      <c r="C32" s="1" t="s">
        <v>204</v>
      </c>
      <c r="D32" s="1" t="s">
        <v>181</v>
      </c>
      <c r="E32" s="1" t="s">
        <v>205</v>
      </c>
      <c r="F32" s="1" t="s">
        <v>37</v>
      </c>
      <c r="G32" s="5">
        <v>1.3429</v>
      </c>
      <c r="H32" s="3">
        <v>12</v>
      </c>
      <c r="I32" s="4">
        <v>45</v>
      </c>
      <c r="J32" s="4">
        <v>1</v>
      </c>
      <c r="K32" s="8">
        <f t="shared" ref="K32" si="34">G32*H32*I32*J32*1.1</f>
        <v>797.68259999999998</v>
      </c>
      <c r="L32" s="5">
        <f t="shared" ref="L32" si="35">G32*I32*J32*1.2</f>
        <v>72.516599999999997</v>
      </c>
      <c r="M32" s="5">
        <f t="shared" ref="M32" si="36">G32*I32*J32*1.3</f>
        <v>78.559650000000005</v>
      </c>
    </row>
    <row r="33" spans="1:13">
      <c r="A33" s="1">
        <v>30</v>
      </c>
      <c r="B33" s="7">
        <v>45460</v>
      </c>
      <c r="C33" s="1" t="s">
        <v>283</v>
      </c>
      <c r="D33" s="1" t="s">
        <v>181</v>
      </c>
      <c r="E33" s="1" t="s">
        <v>206</v>
      </c>
      <c r="F33" s="1" t="s">
        <v>37</v>
      </c>
      <c r="G33" s="13">
        <f>943.92*1.22/24</f>
        <v>47.982599999999998</v>
      </c>
      <c r="H33" s="3">
        <v>12</v>
      </c>
      <c r="I33" s="4">
        <v>1</v>
      </c>
      <c r="J33" s="4">
        <v>1</v>
      </c>
      <c r="K33" s="8">
        <f t="shared" ref="K33" si="37">G33*H33*I33*J33*1.1</f>
        <v>633.37032000000011</v>
      </c>
      <c r="L33" s="5">
        <f t="shared" ref="L33:L34" si="38">G33*I33*J33*1.2</f>
        <v>57.579119999999996</v>
      </c>
      <c r="M33" s="5">
        <f t="shared" ref="M33:M34" si="39">G33*I33*J33*1.3</f>
        <v>62.377380000000002</v>
      </c>
    </row>
    <row r="34" spans="1:13">
      <c r="A34" s="1">
        <v>31</v>
      </c>
      <c r="B34" s="7">
        <v>44998</v>
      </c>
      <c r="C34" s="34">
        <v>101757</v>
      </c>
      <c r="D34" s="1" t="s">
        <v>181</v>
      </c>
      <c r="E34" s="1" t="s">
        <v>207</v>
      </c>
      <c r="F34" s="1" t="s">
        <v>37</v>
      </c>
      <c r="G34" s="5">
        <v>2.7511999999999999</v>
      </c>
      <c r="H34" s="3" t="s">
        <v>37</v>
      </c>
      <c r="I34" s="4">
        <v>45</v>
      </c>
      <c r="J34" s="4">
        <v>1</v>
      </c>
      <c r="K34" s="8"/>
      <c r="L34" s="5">
        <f t="shared" si="38"/>
        <v>148.56479999999999</v>
      </c>
      <c r="M34" s="5">
        <f t="shared" si="39"/>
        <v>160.9452</v>
      </c>
    </row>
    <row r="35" spans="1:13">
      <c r="A35" s="1">
        <v>32</v>
      </c>
      <c r="B35" s="9">
        <v>45141</v>
      </c>
      <c r="C35" s="1" t="s">
        <v>209</v>
      </c>
      <c r="D35" s="1" t="s">
        <v>181</v>
      </c>
      <c r="E35" s="1" t="s">
        <v>211</v>
      </c>
      <c r="F35" s="1" t="s">
        <v>213</v>
      </c>
      <c r="G35" s="5">
        <v>3.1</v>
      </c>
      <c r="H35" s="3">
        <v>12</v>
      </c>
      <c r="I35" s="4">
        <v>45</v>
      </c>
      <c r="J35" s="4">
        <v>1</v>
      </c>
      <c r="K35" s="8">
        <f t="shared" ref="K35:K37" si="40">G35*I35*H35*1.1</f>
        <v>1841.4</v>
      </c>
      <c r="L35" s="5">
        <f>G35*I35*J35*1.2</f>
        <v>167.4</v>
      </c>
      <c r="M35" s="5">
        <f>G35*I35*J35*1.3</f>
        <v>181.35</v>
      </c>
    </row>
    <row r="36" spans="1:13">
      <c r="A36" s="1">
        <v>33</v>
      </c>
      <c r="B36" s="9">
        <v>45141</v>
      </c>
      <c r="C36" s="1" t="s">
        <v>210</v>
      </c>
      <c r="D36" s="1" t="s">
        <v>181</v>
      </c>
      <c r="E36" s="1" t="s">
        <v>212</v>
      </c>
      <c r="F36" s="1" t="s">
        <v>213</v>
      </c>
      <c r="G36" s="5">
        <v>5.2</v>
      </c>
      <c r="H36" s="3">
        <v>12</v>
      </c>
      <c r="I36" s="4">
        <v>45</v>
      </c>
      <c r="J36" s="4">
        <v>1</v>
      </c>
      <c r="K36" s="8">
        <f t="shared" si="40"/>
        <v>3088.8</v>
      </c>
      <c r="L36" s="5">
        <f>G36*I36*J36*1.2</f>
        <v>280.8</v>
      </c>
      <c r="M36" s="5">
        <f>G36*I36*J36*1.3</f>
        <v>304.2</v>
      </c>
    </row>
    <row r="37" spans="1:13" s="1" customFormat="1">
      <c r="A37" s="1">
        <v>34</v>
      </c>
      <c r="B37" s="7">
        <v>45168</v>
      </c>
      <c r="C37" s="34">
        <v>1256</v>
      </c>
      <c r="D37" s="1" t="s">
        <v>175</v>
      </c>
      <c r="E37" s="1" t="s">
        <v>214</v>
      </c>
      <c r="F37" s="1" t="s">
        <v>37</v>
      </c>
      <c r="G37" s="5">
        <v>3.738</v>
      </c>
      <c r="H37" s="3">
        <v>6</v>
      </c>
      <c r="I37" s="4">
        <v>45</v>
      </c>
      <c r="J37" s="4">
        <v>1</v>
      </c>
      <c r="K37" s="8">
        <f t="shared" si="40"/>
        <v>1110.1860000000001</v>
      </c>
      <c r="L37" s="6">
        <f>G37*I37*J37*1.2</f>
        <v>201.852</v>
      </c>
      <c r="M37" s="6">
        <v>205</v>
      </c>
    </row>
    <row r="38" spans="1:13" s="1" customFormat="1">
      <c r="A38" s="1">
        <v>35</v>
      </c>
      <c r="B38" s="7">
        <v>45204</v>
      </c>
      <c r="C38" s="1" t="s">
        <v>215</v>
      </c>
      <c r="D38" s="1" t="s">
        <v>181</v>
      </c>
      <c r="E38" s="1" t="s">
        <v>216</v>
      </c>
      <c r="F38" s="1" t="s">
        <v>213</v>
      </c>
      <c r="G38" s="5">
        <v>4.8490000000000002</v>
      </c>
      <c r="H38" s="3" t="s">
        <v>37</v>
      </c>
      <c r="I38" s="4">
        <v>45</v>
      </c>
      <c r="J38" s="4">
        <v>1</v>
      </c>
      <c r="K38" s="8" t="e">
        <f t="shared" ref="K38" si="41">G38*I38*H38*1.1</f>
        <v>#VALUE!</v>
      </c>
      <c r="L38" s="6">
        <f>G38*I38*J38*1.2</f>
        <v>261.846</v>
      </c>
      <c r="M38" s="6">
        <v>250</v>
      </c>
    </row>
    <row r="39" spans="1:13" s="1" customFormat="1">
      <c r="A39" s="1">
        <v>36</v>
      </c>
      <c r="B39" s="7">
        <v>45400</v>
      </c>
      <c r="C39" s="1" t="s">
        <v>217</v>
      </c>
      <c r="D39" s="1" t="s">
        <v>181</v>
      </c>
      <c r="E39" s="1" t="s">
        <v>218</v>
      </c>
      <c r="F39" s="1" t="s">
        <v>213</v>
      </c>
      <c r="G39" s="5">
        <v>6.5190000000000001</v>
      </c>
      <c r="H39" s="3" t="s">
        <v>37</v>
      </c>
      <c r="I39" s="4">
        <v>45</v>
      </c>
      <c r="J39" s="4">
        <v>1</v>
      </c>
      <c r="K39" s="8" t="e">
        <f t="shared" ref="K39:K43" si="42">G39*I39*H39*1.1</f>
        <v>#VALUE!</v>
      </c>
      <c r="L39" s="6">
        <v>399</v>
      </c>
      <c r="M39" s="1">
        <v>498</v>
      </c>
    </row>
    <row r="40" spans="1:13" s="1" customFormat="1">
      <c r="A40" s="1">
        <v>37</v>
      </c>
      <c r="B40" s="7">
        <v>45278</v>
      </c>
      <c r="C40" s="34">
        <v>3607</v>
      </c>
      <c r="D40" s="1" t="s">
        <v>175</v>
      </c>
      <c r="E40" s="1" t="s">
        <v>219</v>
      </c>
      <c r="G40" s="5">
        <v>1.0874999999999999</v>
      </c>
      <c r="H40" s="3" t="s">
        <v>37</v>
      </c>
      <c r="I40" s="4">
        <v>45</v>
      </c>
      <c r="J40" s="4">
        <v>1</v>
      </c>
      <c r="K40" s="8" t="e">
        <f t="shared" si="42"/>
        <v>#VALUE!</v>
      </c>
      <c r="L40" s="6">
        <f>G40*I40*J40*1.2</f>
        <v>58.724999999999987</v>
      </c>
      <c r="M40" s="6">
        <f>G40*I40*J40*1.5</f>
        <v>73.406249999999986</v>
      </c>
    </row>
    <row r="41" spans="1:13" s="1" customFormat="1">
      <c r="A41" s="1">
        <v>38</v>
      </c>
      <c r="B41" s="7">
        <v>45278</v>
      </c>
      <c r="C41" s="34">
        <v>111</v>
      </c>
      <c r="D41" s="1" t="s">
        <v>175</v>
      </c>
      <c r="E41" s="1" t="s">
        <v>220</v>
      </c>
      <c r="G41" s="5">
        <v>1.875</v>
      </c>
      <c r="H41" s="3" t="s">
        <v>37</v>
      </c>
      <c r="I41" s="4">
        <v>45</v>
      </c>
      <c r="J41" s="4">
        <v>1</v>
      </c>
      <c r="K41" s="8" t="e">
        <f t="shared" si="42"/>
        <v>#VALUE!</v>
      </c>
      <c r="L41" s="6">
        <f>G41*I41*J41*1.2</f>
        <v>101.25</v>
      </c>
      <c r="M41" s="6">
        <f>G41*I41*J41*1.5</f>
        <v>126.5625</v>
      </c>
    </row>
    <row r="42" spans="1:13" s="1" customFormat="1">
      <c r="A42" s="1">
        <v>39</v>
      </c>
      <c r="B42" s="7">
        <v>45278</v>
      </c>
      <c r="C42" s="34">
        <v>324</v>
      </c>
      <c r="D42" s="1" t="s">
        <v>175</v>
      </c>
      <c r="E42" s="1" t="s">
        <v>221</v>
      </c>
      <c r="G42" s="1">
        <v>0.61770000000000003</v>
      </c>
      <c r="H42" s="3" t="s">
        <v>37</v>
      </c>
      <c r="I42" s="4">
        <v>45</v>
      </c>
      <c r="J42" s="4">
        <v>1</v>
      </c>
      <c r="K42" s="8" t="e">
        <f t="shared" si="42"/>
        <v>#VALUE!</v>
      </c>
      <c r="L42" s="6">
        <f>G42*I42*J42*3</f>
        <v>83.389499999999998</v>
      </c>
      <c r="M42" s="6">
        <f>G42*I42*J42*4.5</f>
        <v>125.08425000000001</v>
      </c>
    </row>
    <row r="43" spans="1:13" s="1" customFormat="1">
      <c r="A43" s="1">
        <v>40</v>
      </c>
      <c r="B43" s="7">
        <v>45278</v>
      </c>
      <c r="C43" s="34">
        <v>203</v>
      </c>
      <c r="D43" s="1" t="s">
        <v>175</v>
      </c>
      <c r="E43" s="1" t="s">
        <v>222</v>
      </c>
      <c r="G43" s="5">
        <v>2.6444999999999999</v>
      </c>
      <c r="H43" s="3" t="s">
        <v>37</v>
      </c>
      <c r="I43" s="4">
        <v>45</v>
      </c>
      <c r="J43" s="4">
        <v>1</v>
      </c>
      <c r="K43" s="8" t="e">
        <f t="shared" si="42"/>
        <v>#VALUE!</v>
      </c>
      <c r="L43" s="6">
        <f>G43*I43*J43*1.5</f>
        <v>178.50375</v>
      </c>
      <c r="M43" s="6">
        <f>G43*I43*J43*3</f>
        <v>357.00749999999999</v>
      </c>
    </row>
    <row r="44" spans="1:13" s="1" customFormat="1">
      <c r="A44" s="1">
        <v>41</v>
      </c>
      <c r="B44" s="7">
        <v>45278</v>
      </c>
      <c r="C44" s="34">
        <v>40</v>
      </c>
      <c r="D44" s="1" t="s">
        <v>175</v>
      </c>
      <c r="E44" s="1" t="s">
        <v>223</v>
      </c>
      <c r="G44" s="1">
        <v>0.38640000000000002</v>
      </c>
      <c r="H44" s="3">
        <v>30</v>
      </c>
      <c r="I44" s="4">
        <v>45</v>
      </c>
      <c r="J44" s="4">
        <v>1</v>
      </c>
      <c r="K44" s="8">
        <f>G44*I44*H44*1.2</f>
        <v>625.96800000000007</v>
      </c>
      <c r="L44" s="6">
        <f>G44*I44*J44*1.3</f>
        <v>22.604400000000002</v>
      </c>
      <c r="M44" s="6">
        <f>G44*I44*J44*1.8</f>
        <v>31.298400000000004</v>
      </c>
    </row>
    <row r="45" spans="1:13" s="1" customFormat="1">
      <c r="A45" s="1">
        <v>42</v>
      </c>
      <c r="B45" s="7">
        <v>45313</v>
      </c>
      <c r="C45" s="1" t="s">
        <v>224</v>
      </c>
      <c r="D45" s="1" t="s">
        <v>181</v>
      </c>
      <c r="E45" s="1" t="s">
        <v>225</v>
      </c>
      <c r="G45" s="5">
        <v>6.2464000000000004</v>
      </c>
      <c r="H45" s="3">
        <v>12</v>
      </c>
      <c r="I45" s="4">
        <v>45</v>
      </c>
      <c r="J45" s="4">
        <v>1</v>
      </c>
      <c r="K45" s="8">
        <f>G45*I45*H45*1.1</f>
        <v>3710.3616000000006</v>
      </c>
      <c r="L45" s="6">
        <f t="shared" ref="L45" si="43">G45*I45*J45*1.2</f>
        <v>337.30560000000003</v>
      </c>
      <c r="M45" s="6">
        <f>G45*I45*J45*1.3</f>
        <v>365.41440000000006</v>
      </c>
    </row>
    <row r="46" spans="1:13" s="1" customFormat="1">
      <c r="A46" s="1">
        <v>43</v>
      </c>
      <c r="B46" s="7">
        <v>45372</v>
      </c>
      <c r="C46" s="1" t="s">
        <v>227</v>
      </c>
      <c r="D46" s="1" t="s">
        <v>226</v>
      </c>
      <c r="E46" s="1" t="s">
        <v>228</v>
      </c>
      <c r="F46" s="1" t="s">
        <v>229</v>
      </c>
      <c r="G46" s="5">
        <f>3.76*1.22</f>
        <v>4.5871999999999993</v>
      </c>
      <c r="I46" s="4">
        <v>45</v>
      </c>
      <c r="J46" s="4">
        <v>1</v>
      </c>
      <c r="L46" s="6">
        <f>G46*I46*J46*1.2</f>
        <v>247.70879999999997</v>
      </c>
      <c r="M46" s="6">
        <f>G46*I46*J46*1.3</f>
        <v>268.35120000000001</v>
      </c>
    </row>
    <row r="47" spans="1:13" s="1" customFormat="1">
      <c r="A47" s="1">
        <v>44</v>
      </c>
      <c r="B47" s="7">
        <v>45372</v>
      </c>
      <c r="C47" s="1" t="s">
        <v>230</v>
      </c>
      <c r="D47" s="1" t="s">
        <v>226</v>
      </c>
      <c r="E47" s="1" t="s">
        <v>231</v>
      </c>
      <c r="F47" s="1" t="s">
        <v>229</v>
      </c>
      <c r="G47" s="13">
        <f>13.22*1.22</f>
        <v>16.128399999999999</v>
      </c>
      <c r="I47" s="4">
        <v>45</v>
      </c>
      <c r="J47" s="4">
        <v>1</v>
      </c>
      <c r="L47" s="6">
        <f>G47*I47*J47*1.15</f>
        <v>834.64469999999994</v>
      </c>
      <c r="M47" s="6">
        <f>G47*I47*J47*1.21</f>
        <v>878.19137999999998</v>
      </c>
    </row>
    <row r="48" spans="1:13" s="1" customFormat="1">
      <c r="A48" s="1">
        <v>45</v>
      </c>
      <c r="B48" s="7">
        <v>45439</v>
      </c>
      <c r="C48" s="1" t="s">
        <v>232</v>
      </c>
      <c r="D48" s="1" t="s">
        <v>226</v>
      </c>
      <c r="E48" s="1" t="s">
        <v>233</v>
      </c>
      <c r="F48" s="1" t="s">
        <v>37</v>
      </c>
      <c r="G48" s="5">
        <f>94.27*1.22/48</f>
        <v>2.3960291666666667</v>
      </c>
      <c r="H48" s="3">
        <v>24</v>
      </c>
      <c r="I48" s="4">
        <v>45</v>
      </c>
      <c r="J48" s="4">
        <v>1</v>
      </c>
      <c r="K48" s="8">
        <f>G48*H48*I48*1.2</f>
        <v>3105.2538</v>
      </c>
      <c r="L48" s="6">
        <f>G48*I48*J48*1.55</f>
        <v>167.123034375</v>
      </c>
      <c r="M48" s="6">
        <f>G48*I48*J48*2.1</f>
        <v>226.42475625000003</v>
      </c>
    </row>
    <row r="49" spans="1:17" s="1" customFormat="1">
      <c r="A49" s="1">
        <v>46</v>
      </c>
      <c r="B49" s="7">
        <v>45408</v>
      </c>
      <c r="C49" s="1" t="s">
        <v>243</v>
      </c>
      <c r="D49" s="1" t="s">
        <v>226</v>
      </c>
      <c r="E49" s="1" t="s">
        <v>244</v>
      </c>
      <c r="F49" s="1" t="s">
        <v>234</v>
      </c>
      <c r="G49" s="1">
        <f>89.04/24</f>
        <v>3.7100000000000004</v>
      </c>
      <c r="H49" s="3">
        <v>24</v>
      </c>
      <c r="I49" s="4">
        <v>45</v>
      </c>
      <c r="J49" s="4">
        <v>1</v>
      </c>
      <c r="K49" s="8">
        <f>G49*H49*I49*1.2</f>
        <v>4808.16</v>
      </c>
      <c r="L49" s="6">
        <f>G49*I49*J49*1.275</f>
        <v>212.86125000000001</v>
      </c>
      <c r="M49" s="6">
        <f>G49*I49*J49*1.55</f>
        <v>258.77250000000004</v>
      </c>
    </row>
    <row r="50" spans="1:17" s="1" customFormat="1">
      <c r="A50" s="1">
        <v>47</v>
      </c>
      <c r="B50" s="7">
        <v>45439</v>
      </c>
      <c r="C50" s="1" t="s">
        <v>255</v>
      </c>
      <c r="D50" s="1" t="s">
        <v>226</v>
      </c>
      <c r="E50" s="1" t="s">
        <v>256</v>
      </c>
      <c r="F50" s="1" t="s">
        <v>234</v>
      </c>
      <c r="G50" s="5">
        <f>68.29*1.22/24</f>
        <v>3.4714083333333332</v>
      </c>
      <c r="H50" s="3">
        <v>24</v>
      </c>
      <c r="I50" s="4">
        <v>45</v>
      </c>
      <c r="J50" s="4">
        <v>1</v>
      </c>
      <c r="K50" s="8">
        <f>G50*H50*I50*1.2</f>
        <v>4498.9452000000001</v>
      </c>
      <c r="L50" s="6">
        <f>G50*I50*J50*1.293</f>
        <v>201.98389387499998</v>
      </c>
      <c r="M50" s="6">
        <f>G50*I50*J50*1.581</f>
        <v>246.97334587499998</v>
      </c>
    </row>
    <row r="51" spans="1:17" s="1" customFormat="1">
      <c r="A51" s="1">
        <v>48</v>
      </c>
      <c r="B51" s="7">
        <v>45435</v>
      </c>
      <c r="C51" s="1" t="s">
        <v>259</v>
      </c>
      <c r="D51" s="1" t="s">
        <v>90</v>
      </c>
      <c r="E51" s="1" t="s">
        <v>260</v>
      </c>
      <c r="G51" s="5">
        <f>17/37.35*1.22</f>
        <v>0.5552878179384203</v>
      </c>
      <c r="H51" s="3">
        <v>10</v>
      </c>
      <c r="I51" s="4">
        <v>45</v>
      </c>
      <c r="J51" s="4">
        <v>1</v>
      </c>
      <c r="K51" s="8">
        <f>G51*H51*I51*J51*1.35</f>
        <v>337.3373493975904</v>
      </c>
      <c r="L51" s="6">
        <f>G51*I51*J51*1.56</f>
        <v>38.98120481927711</v>
      </c>
      <c r="M51" s="6">
        <f>G51*I51*J51*1.75</f>
        <v>43.7289156626506</v>
      </c>
    </row>
    <row r="52" spans="1:17">
      <c r="D52" s="1" t="s">
        <v>181</v>
      </c>
      <c r="E52" s="1" t="s">
        <v>282</v>
      </c>
      <c r="G52" s="5">
        <f>0.9*1.22</f>
        <v>1.0980000000000001</v>
      </c>
      <c r="H52" s="3">
        <v>12</v>
      </c>
      <c r="I52" s="4">
        <v>45</v>
      </c>
      <c r="J52" s="4">
        <v>1</v>
      </c>
      <c r="K52" s="8">
        <f>G52*H52*I52*J52*1.1</f>
        <v>652.2120000000001</v>
      </c>
      <c r="L52" s="6">
        <f>G52*I52*J52*1.2</f>
        <v>59.292000000000002</v>
      </c>
      <c r="M52" s="6">
        <f>G52*I52*J52*1.3</f>
        <v>64.233000000000004</v>
      </c>
    </row>
    <row r="53" spans="1:17">
      <c r="D53" s="1" t="s">
        <v>90</v>
      </c>
      <c r="E53" s="1" t="s">
        <v>282</v>
      </c>
      <c r="G53" s="5">
        <f>62.9/38.8*1.22</f>
        <v>1.9777835051546391</v>
      </c>
      <c r="H53" s="3">
        <v>6</v>
      </c>
      <c r="I53" s="4">
        <v>45</v>
      </c>
      <c r="J53" s="4">
        <v>1</v>
      </c>
      <c r="K53" s="8">
        <f>G53*H53*I53*J53*1.1</f>
        <v>587.40170103092794</v>
      </c>
      <c r="L53" s="6">
        <f>G53*I53*J53*1.2</f>
        <v>106.8003092783505</v>
      </c>
      <c r="M53" s="6">
        <f>G53*I53*J53*1.3</f>
        <v>115.70033505154639</v>
      </c>
      <c r="N53" s="4"/>
      <c r="O53" s="12"/>
      <c r="P53" s="6"/>
      <c r="Q53" s="6"/>
    </row>
    <row r="54" spans="1:17">
      <c r="D54" s="1" t="s">
        <v>226</v>
      </c>
      <c r="E54" s="1" t="s">
        <v>282</v>
      </c>
      <c r="G54" s="5">
        <f>1.1*1.22</f>
        <v>1.3420000000000001</v>
      </c>
      <c r="H54" s="3">
        <v>12</v>
      </c>
      <c r="I54" s="4">
        <v>45</v>
      </c>
      <c r="J54" s="4">
        <v>1</v>
      </c>
      <c r="K54" s="8">
        <f>G54*H54*I54*J54*1.1</f>
        <v>797.14800000000002</v>
      </c>
      <c r="L54" s="6">
        <f>G54*I54*J54*1.2</f>
        <v>72.468000000000004</v>
      </c>
      <c r="M54" s="6">
        <f>G54*I54*J54*1.3</f>
        <v>78.507000000000005</v>
      </c>
    </row>
    <row r="55" spans="1:17">
      <c r="B55" s="7">
        <v>45448</v>
      </c>
      <c r="D55" s="1" t="s">
        <v>284</v>
      </c>
      <c r="E55" s="1" t="s">
        <v>285</v>
      </c>
      <c r="F55" s="1" t="s">
        <v>37</v>
      </c>
      <c r="G55" s="5">
        <f>110/39*1.22</f>
        <v>3.4410256410256412</v>
      </c>
      <c r="H55" s="3">
        <v>12</v>
      </c>
      <c r="I55" s="4">
        <v>45</v>
      </c>
      <c r="J55" s="4">
        <v>1</v>
      </c>
      <c r="K55" s="8">
        <f t="shared" ref="K55" si="44">G55*H55*I55*J55*1.1</f>
        <v>2043.969230769231</v>
      </c>
      <c r="L55" s="5">
        <f t="shared" ref="L55" si="45">G55*I55*J55*1.2</f>
        <v>185.81538461538463</v>
      </c>
      <c r="M55" s="5">
        <f t="shared" ref="M55" si="46">G55*I55*J55*1.3</f>
        <v>201.30000000000004</v>
      </c>
    </row>
    <row r="56" spans="1:17" s="1" customFormat="1">
      <c r="B56" s="7"/>
      <c r="D56" s="1" t="s">
        <v>181</v>
      </c>
      <c r="E56" s="1" t="s">
        <v>286</v>
      </c>
      <c r="G56" s="5">
        <v>0</v>
      </c>
      <c r="H56" s="3"/>
      <c r="I56" s="4">
        <v>1</v>
      </c>
      <c r="J56" s="4">
        <v>1</v>
      </c>
      <c r="K56" s="8">
        <f t="shared" ref="K56" si="47">G56*H56*I56*J56*1.1</f>
        <v>0</v>
      </c>
      <c r="L56" s="5">
        <f t="shared" ref="L56" si="48">G56*I56*J56*1.2</f>
        <v>0</v>
      </c>
      <c r="M56" s="5">
        <f t="shared" ref="M56" si="49">G56*I56*J56*1.3</f>
        <v>0</v>
      </c>
    </row>
    <row r="57" spans="1:17" s="1" customFormat="1">
      <c r="B57" s="7">
        <v>45449</v>
      </c>
      <c r="D57" s="1" t="s">
        <v>90</v>
      </c>
      <c r="E57" s="1" t="s">
        <v>286</v>
      </c>
      <c r="G57" s="5">
        <f>178.61*1.22</f>
        <v>217.9042</v>
      </c>
      <c r="H57" s="3">
        <v>24</v>
      </c>
      <c r="I57" s="4">
        <v>1</v>
      </c>
      <c r="J57" s="4">
        <v>1</v>
      </c>
      <c r="K57" s="8">
        <f t="shared" ref="K57" si="50">G57*H57*I57*J57*1.1</f>
        <v>5752.6708800000015</v>
      </c>
      <c r="L57" s="5">
        <f t="shared" ref="L57" si="51">G57*I57*J57*1.2</f>
        <v>261.48503999999997</v>
      </c>
      <c r="M57" s="5">
        <f t="shared" ref="M57" si="52">G57*I57*J57*1.3</f>
        <v>283.27546000000001</v>
      </c>
    </row>
    <row r="58" spans="1:17">
      <c r="B58" s="7">
        <v>45449</v>
      </c>
      <c r="D58" s="1" t="s">
        <v>226</v>
      </c>
      <c r="E58" s="1" t="s">
        <v>286</v>
      </c>
      <c r="F58" s="1" t="s">
        <v>234</v>
      </c>
      <c r="G58" s="5">
        <f>47.85*1.22/24</f>
        <v>2.432375</v>
      </c>
      <c r="H58" s="3">
        <v>24</v>
      </c>
      <c r="I58" s="4">
        <v>45</v>
      </c>
      <c r="J58" s="4">
        <v>1</v>
      </c>
      <c r="K58" s="8">
        <f>G58*H58*I58*J58*1.2</f>
        <v>3152.3579999999997</v>
      </c>
      <c r="L58" s="6">
        <f>G58*I58*J58*1.3</f>
        <v>142.2939375</v>
      </c>
      <c r="M58" s="6">
        <f>G58*I58*J58*1.4</f>
        <v>153.23962499999999</v>
      </c>
    </row>
    <row r="59" spans="1:17">
      <c r="B59" s="7">
        <v>45449</v>
      </c>
      <c r="D59" s="1" t="s">
        <v>90</v>
      </c>
      <c r="E59" s="1" t="s">
        <v>287</v>
      </c>
      <c r="G59" s="5">
        <f>98.7*1.22</f>
        <v>120.414</v>
      </c>
      <c r="H59" s="3">
        <v>24</v>
      </c>
      <c r="I59" s="4">
        <v>1</v>
      </c>
      <c r="J59" s="4">
        <v>1</v>
      </c>
      <c r="K59" s="8">
        <f>G59*H59*I59*J59*1.2</f>
        <v>3467.9232000000002</v>
      </c>
      <c r="L59" s="6">
        <f>G59*I59*J59*1.3</f>
        <v>156.53820000000002</v>
      </c>
      <c r="M59" s="6">
        <f>G59*I59*J59*1.4</f>
        <v>168.5796</v>
      </c>
    </row>
    <row r="60" spans="1:17" s="1" customFormat="1">
      <c r="B60" s="7">
        <v>45505</v>
      </c>
      <c r="C60" s="1" t="s">
        <v>313</v>
      </c>
      <c r="D60" s="1" t="s">
        <v>90</v>
      </c>
      <c r="E60" s="1" t="s">
        <v>314</v>
      </c>
      <c r="F60" s="1" t="s">
        <v>37</v>
      </c>
      <c r="G60" s="5">
        <f>87.96 *1.22</f>
        <v>107.31119999999999</v>
      </c>
      <c r="H60" s="3">
        <v>24</v>
      </c>
      <c r="I60" s="4">
        <v>1</v>
      </c>
      <c r="J60" s="4">
        <v>1</v>
      </c>
      <c r="K60" s="8">
        <f>G60*H60*I60*1.2</f>
        <v>3090.5625599999994</v>
      </c>
      <c r="L60" s="6">
        <f>G60*I60*J60*1.55</f>
        <v>166.33235999999999</v>
      </c>
      <c r="M60" s="6">
        <f>G60*I60*J60*2.1</f>
        <v>225.35351999999997</v>
      </c>
    </row>
    <row r="61" spans="1:17">
      <c r="B61" s="9">
        <v>45541</v>
      </c>
      <c r="C61" s="34">
        <v>101711</v>
      </c>
      <c r="D61" s="1" t="s">
        <v>181</v>
      </c>
      <c r="E61" s="1" t="s">
        <v>315</v>
      </c>
      <c r="G61" s="5">
        <f>1529.7*1.22/6</f>
        <v>311.03899999999999</v>
      </c>
      <c r="H61" s="3">
        <v>6</v>
      </c>
      <c r="I61" s="4">
        <v>1</v>
      </c>
      <c r="J61" s="4">
        <v>1</v>
      </c>
      <c r="K61" s="8">
        <f>G61*H61*I61*1.2</f>
        <v>2239.4807999999998</v>
      </c>
      <c r="L61" s="5">
        <f t="shared" ref="L61" si="53">G61*I61*J61*1.2</f>
        <v>373.24679999999995</v>
      </c>
      <c r="M61" s="5">
        <f t="shared" ref="M61" si="54">G61*I61*J61*1.3</f>
        <v>404.35070000000002</v>
      </c>
    </row>
    <row r="62" spans="1:17">
      <c r="B62" s="7">
        <v>45714</v>
      </c>
      <c r="C62" s="34">
        <v>903000901</v>
      </c>
      <c r="D62" s="1" t="s">
        <v>90</v>
      </c>
      <c r="E62" s="1" t="s">
        <v>316</v>
      </c>
      <c r="G62" s="1">
        <f>700*1.2/10</f>
        <v>84</v>
      </c>
      <c r="H62" s="3">
        <v>10</v>
      </c>
      <c r="I62" s="4">
        <v>1</v>
      </c>
      <c r="J62" s="4">
        <v>1</v>
      </c>
      <c r="K62" s="3">
        <f>84*10*1*1.2</f>
        <v>1008</v>
      </c>
      <c r="L62" s="1">
        <f>84*1*1*1.2</f>
        <v>100.8</v>
      </c>
      <c r="M62" s="1">
        <f>84*1*1*1.3</f>
        <v>109.2</v>
      </c>
    </row>
    <row r="63" spans="1:17">
      <c r="B63" s="9">
        <v>45714</v>
      </c>
      <c r="C63" s="34">
        <v>15713</v>
      </c>
      <c r="D63" s="1" t="s">
        <v>318</v>
      </c>
      <c r="E63" s="1" t="s">
        <v>317</v>
      </c>
      <c r="G63" s="1">
        <f>1411*1.2/10</f>
        <v>169.32</v>
      </c>
      <c r="H63" s="3">
        <v>10</v>
      </c>
      <c r="I63" s="4">
        <v>1</v>
      </c>
      <c r="J63" s="4">
        <v>1</v>
      </c>
      <c r="K63" s="3">
        <f>169.32*10*1*1.2</f>
        <v>2031.8399999999997</v>
      </c>
      <c r="L63" s="1">
        <f>169.32*1*1*1.2</f>
        <v>203.184</v>
      </c>
      <c r="M63" s="1">
        <f>169.32*1*1*1.3</f>
        <v>220.11599999999999</v>
      </c>
    </row>
    <row r="64" spans="1:17">
      <c r="B64" s="9">
        <v>45727</v>
      </c>
      <c r="C64" s="34">
        <v>669222114</v>
      </c>
      <c r="D64" s="1" t="s">
        <v>90</v>
      </c>
      <c r="E64" s="1" t="s">
        <v>319</v>
      </c>
      <c r="G64" s="1">
        <f>3476*1.2/3</f>
        <v>1390.3999999999999</v>
      </c>
      <c r="H64" s="3">
        <v>3</v>
      </c>
      <c r="I64" s="4">
        <v>1</v>
      </c>
      <c r="J64" s="4">
        <v>1</v>
      </c>
      <c r="K64" s="3">
        <f>1390.4*3*1*1.2</f>
        <v>5005.4400000000005</v>
      </c>
      <c r="L64" s="1">
        <f>1390.4*1*1*1.2</f>
        <v>1668.48</v>
      </c>
      <c r="M64" s="1">
        <f>1390.4*1*1*1.3</f>
        <v>1807.5200000000002</v>
      </c>
    </row>
  </sheetData>
  <autoFilter ref="A3:Q61">
    <filterColumn colId="4"/>
  </autoFilter>
  <mergeCells count="1">
    <mergeCell ref="A1:M2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3"/>
  <sheetViews>
    <sheetView workbookViewId="0">
      <selection activeCell="P4" sqref="P4"/>
    </sheetView>
  </sheetViews>
  <sheetFormatPr baseColWidth="10" defaultRowHeight="15"/>
  <cols>
    <col min="3" max="3" width="12" bestFit="1" customWidth="1"/>
    <col min="5" max="5" width="34.42578125" bestFit="1" customWidth="1"/>
    <col min="6" max="6" width="13" bestFit="1" customWidth="1"/>
    <col min="7" max="7" width="14" customWidth="1"/>
    <col min="8" max="8" width="18.28515625" bestFit="1" customWidth="1"/>
    <col min="9" max="9" width="12" bestFit="1" customWidth="1"/>
    <col min="10" max="10" width="14.5703125" bestFit="1" customWidth="1"/>
    <col min="11" max="11" width="24" bestFit="1" customWidth="1"/>
    <col min="12" max="12" width="24.42578125" bestFit="1" customWidth="1"/>
    <col min="13" max="13" width="15.85546875" bestFit="1" customWidth="1"/>
    <col min="14" max="14" width="14.28515625" bestFit="1" customWidth="1"/>
  </cols>
  <sheetData>
    <row r="1" spans="1:1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4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4" s="1" customFormat="1" ht="14.25" customHeight="1">
      <c r="A3" s="1" t="s">
        <v>45</v>
      </c>
      <c r="B3" s="1" t="s">
        <v>44</v>
      </c>
      <c r="C3" s="1" t="s">
        <v>38</v>
      </c>
      <c r="D3" s="1" t="s">
        <v>39</v>
      </c>
      <c r="E3" s="1" t="s">
        <v>275</v>
      </c>
      <c r="F3" s="1" t="s">
        <v>2</v>
      </c>
      <c r="G3" s="1" t="s">
        <v>3</v>
      </c>
      <c r="H3" s="1" t="s">
        <v>4</v>
      </c>
      <c r="I3" s="2" t="s">
        <v>18</v>
      </c>
      <c r="J3" s="2" t="s">
        <v>104</v>
      </c>
      <c r="K3" s="1" t="s">
        <v>208</v>
      </c>
      <c r="L3" s="1" t="s">
        <v>23</v>
      </c>
      <c r="M3" s="3" t="s">
        <v>52</v>
      </c>
      <c r="N3" s="1" t="s">
        <v>277</v>
      </c>
    </row>
    <row r="4" spans="1:14">
      <c r="A4">
        <v>1</v>
      </c>
      <c r="B4" s="7">
        <v>45443</v>
      </c>
      <c r="C4" s="1" t="s">
        <v>37</v>
      </c>
      <c r="D4" s="1" t="s">
        <v>274</v>
      </c>
      <c r="E4" s="1" t="s">
        <v>276</v>
      </c>
      <c r="F4" s="1"/>
      <c r="G4" s="6">
        <f>1980 / 38.8*1.22</f>
        <v>62.257731958762889</v>
      </c>
      <c r="H4" s="3">
        <v>1</v>
      </c>
      <c r="I4" s="4">
        <v>45</v>
      </c>
      <c r="J4" s="4">
        <v>1</v>
      </c>
      <c r="K4" s="8" t="s">
        <v>37</v>
      </c>
      <c r="L4" s="6">
        <f>G4*I4*J4*1.1</f>
        <v>3081.7577319587631</v>
      </c>
      <c r="M4" s="6">
        <f>G4*I4*J4*1.2</f>
        <v>3361.9175257731958</v>
      </c>
      <c r="N4" s="12">
        <f>G4*I4*J4*1.2/1.22</f>
        <v>2755.6701030927834</v>
      </c>
    </row>
    <row r="5" spans="1:14">
      <c r="A5" s="1">
        <v>2</v>
      </c>
      <c r="B5" s="7">
        <v>45443</v>
      </c>
      <c r="C5" s="1" t="s">
        <v>37</v>
      </c>
      <c r="D5" s="1" t="s">
        <v>274</v>
      </c>
      <c r="E5" s="1" t="s">
        <v>278</v>
      </c>
      <c r="F5" s="1"/>
      <c r="G5" s="6">
        <f>4900 / 38.8*1.22</f>
        <v>154.07216494845363</v>
      </c>
      <c r="H5" s="3">
        <v>1</v>
      </c>
      <c r="I5" s="4">
        <v>45</v>
      </c>
      <c r="J5" s="4">
        <v>1</v>
      </c>
      <c r="K5" s="8" t="s">
        <v>37</v>
      </c>
      <c r="L5" s="6">
        <f>G5*I5*J5*1.1</f>
        <v>7626.5721649484549</v>
      </c>
      <c r="M5" s="6">
        <f>G5*I5*J5*1.2</f>
        <v>8319.8969072164964</v>
      </c>
      <c r="N5" s="12">
        <f>G5*I5*J5*1.2/1.22</f>
        <v>6819.5876288659811</v>
      </c>
    </row>
    <row r="6" spans="1:14">
      <c r="A6" s="1">
        <v>3</v>
      </c>
      <c r="B6" s="7">
        <v>45443</v>
      </c>
      <c r="C6" s="1">
        <v>6</v>
      </c>
      <c r="D6" s="1" t="s">
        <v>279</v>
      </c>
      <c r="E6" s="1" t="s">
        <v>280</v>
      </c>
      <c r="F6" s="1"/>
      <c r="G6" s="6">
        <f>94.26*1.22</f>
        <v>114.99720000000001</v>
      </c>
      <c r="H6" s="3">
        <v>1</v>
      </c>
      <c r="I6" s="4">
        <v>45</v>
      </c>
      <c r="J6" s="4">
        <v>1</v>
      </c>
      <c r="K6" s="8" t="s">
        <v>37</v>
      </c>
      <c r="L6" s="6">
        <f>G6*I6*J6*1.1</f>
        <v>5692.3614000000016</v>
      </c>
      <c r="M6" s="6">
        <f>G6*I6*J6*1.2</f>
        <v>6209.8488000000007</v>
      </c>
      <c r="N6" s="12">
        <f>G6*I6*J6*1.15</f>
        <v>5951.1051000000007</v>
      </c>
    </row>
    <row r="7" spans="1:14">
      <c r="A7" s="1">
        <v>4</v>
      </c>
      <c r="B7" s="7">
        <v>45443</v>
      </c>
      <c r="C7" s="1">
        <v>68</v>
      </c>
      <c r="D7" s="1" t="s">
        <v>279</v>
      </c>
      <c r="E7" s="1" t="s">
        <v>281</v>
      </c>
      <c r="F7" s="1"/>
      <c r="G7" s="6">
        <f>122.95*1.22</f>
        <v>149.999</v>
      </c>
      <c r="H7" s="3">
        <v>1</v>
      </c>
      <c r="I7" s="4">
        <v>45</v>
      </c>
      <c r="J7" s="4">
        <v>1</v>
      </c>
      <c r="K7" s="8" t="s">
        <v>37</v>
      </c>
      <c r="L7" s="6">
        <f>G7*I7*J7*1.1</f>
        <v>7424.9505000000008</v>
      </c>
      <c r="M7" s="6">
        <f>G7*I7*J7*1.2</f>
        <v>8099.9459999999999</v>
      </c>
      <c r="N7" s="12">
        <f>G7*I7*J7*1.15</f>
        <v>7762.4482499999995</v>
      </c>
    </row>
    <row r="8" spans="1:14">
      <c r="A8" s="1"/>
      <c r="B8" s="7"/>
      <c r="C8" s="1"/>
      <c r="D8" s="1"/>
      <c r="E8" s="1"/>
      <c r="F8" s="1"/>
      <c r="G8" s="5"/>
      <c r="H8" s="3"/>
      <c r="I8" s="4"/>
      <c r="J8" s="4"/>
      <c r="K8" s="8"/>
      <c r="L8" s="6"/>
      <c r="M8" s="6"/>
    </row>
    <row r="9" spans="1:14">
      <c r="A9" s="1"/>
      <c r="B9" s="7"/>
      <c r="C9" s="1"/>
      <c r="D9" s="1"/>
      <c r="E9" s="1"/>
      <c r="F9" s="1"/>
      <c r="G9" s="5"/>
      <c r="H9" s="3"/>
      <c r="I9" s="4"/>
      <c r="J9" s="4"/>
      <c r="K9" s="8"/>
      <c r="L9" s="6"/>
      <c r="M9" s="6"/>
    </row>
    <row r="10" spans="1:14">
      <c r="A10" s="1"/>
      <c r="B10" s="7"/>
      <c r="C10" s="1"/>
      <c r="D10" s="1"/>
      <c r="E10" s="1"/>
      <c r="F10" s="1"/>
      <c r="G10" s="5"/>
      <c r="H10" s="3"/>
      <c r="I10" s="4"/>
      <c r="J10" s="4"/>
      <c r="K10" s="8"/>
      <c r="L10" s="6"/>
      <c r="M10" s="6"/>
    </row>
    <row r="11" spans="1:14">
      <c r="A11" s="1"/>
      <c r="B11" s="7"/>
      <c r="C11" s="1"/>
      <c r="D11" s="1"/>
      <c r="E11" s="1"/>
      <c r="F11" s="1"/>
      <c r="G11" s="5"/>
      <c r="H11" s="3"/>
      <c r="I11" s="4"/>
      <c r="J11" s="4"/>
      <c r="K11" s="8"/>
      <c r="L11" s="6"/>
      <c r="M11" s="6"/>
    </row>
    <row r="12" spans="1:14">
      <c r="A12" s="1"/>
      <c r="B12" s="7"/>
      <c r="C12" s="1"/>
      <c r="D12" s="1"/>
      <c r="E12" s="1"/>
      <c r="F12" s="1"/>
      <c r="G12" s="5"/>
      <c r="H12" s="3"/>
      <c r="I12" s="4"/>
      <c r="J12" s="4"/>
      <c r="K12" s="8"/>
      <c r="L12" s="6"/>
      <c r="M12" s="6"/>
    </row>
    <row r="13" spans="1:14">
      <c r="A13" s="1"/>
      <c r="B13" s="7"/>
      <c r="C13" s="1"/>
      <c r="D13" s="1"/>
      <c r="E13" s="1"/>
      <c r="F13" s="1"/>
      <c r="G13" s="5"/>
      <c r="H13" s="3"/>
      <c r="I13" s="4"/>
      <c r="J13" s="4"/>
      <c r="K13" s="6"/>
      <c r="L13" s="5"/>
      <c r="M13" s="5"/>
    </row>
    <row r="14" spans="1:14" s="1" customFormat="1">
      <c r="B14" s="7"/>
      <c r="G14" s="5"/>
      <c r="H14" s="3"/>
      <c r="I14" s="4"/>
      <c r="J14" s="4"/>
      <c r="K14" s="6"/>
      <c r="L14" s="6"/>
      <c r="M14" s="6"/>
    </row>
    <row r="15" spans="1:14" s="1" customFormat="1">
      <c r="B15" s="7"/>
      <c r="G15" s="5"/>
      <c r="H15" s="3"/>
      <c r="I15" s="4"/>
      <c r="J15" s="4"/>
      <c r="K15" s="6"/>
      <c r="L15" s="6"/>
      <c r="M15" s="6"/>
    </row>
    <row r="16" spans="1:14" s="1" customFormat="1">
      <c r="B16" s="7"/>
      <c r="G16" s="5"/>
      <c r="H16" s="3"/>
      <c r="I16" s="4"/>
      <c r="J16" s="4"/>
      <c r="K16" s="6"/>
      <c r="L16" s="6"/>
      <c r="M16" s="6"/>
    </row>
    <row r="17" spans="1:13">
      <c r="A17" s="1"/>
      <c r="B17" s="7"/>
      <c r="C17" s="1"/>
      <c r="D17" s="1"/>
      <c r="E17" s="1"/>
      <c r="F17" s="1"/>
      <c r="G17" s="5"/>
      <c r="H17" s="3"/>
      <c r="I17" s="4"/>
      <c r="J17" s="4"/>
      <c r="K17" s="8"/>
      <c r="L17" s="6"/>
      <c r="M17" s="6"/>
    </row>
    <row r="18" spans="1:13">
      <c r="A18" s="1"/>
      <c r="B18" s="7"/>
      <c r="C18" s="1"/>
      <c r="D18" s="1"/>
      <c r="E18" s="1"/>
      <c r="F18" s="1"/>
      <c r="G18" s="5"/>
      <c r="H18" s="3"/>
      <c r="I18" s="4"/>
      <c r="J18" s="4"/>
      <c r="K18" s="8"/>
      <c r="L18" s="6"/>
      <c r="M18" s="6"/>
    </row>
    <row r="19" spans="1:13">
      <c r="A19" s="1"/>
      <c r="B19" s="7"/>
      <c r="C19" s="1"/>
      <c r="D19" s="1"/>
      <c r="E19" s="1"/>
      <c r="F19" s="1"/>
      <c r="G19" s="5"/>
      <c r="H19" s="3"/>
      <c r="I19" s="4"/>
      <c r="J19" s="4"/>
      <c r="K19" s="8"/>
      <c r="L19" s="6"/>
      <c r="M19" s="6"/>
    </row>
    <row r="20" spans="1:13">
      <c r="A20" s="1"/>
      <c r="B20" s="7"/>
      <c r="C20" s="1"/>
      <c r="D20" s="1"/>
      <c r="E20" s="1"/>
      <c r="F20" s="1"/>
      <c r="G20" s="5"/>
      <c r="H20" s="3"/>
      <c r="I20" s="4"/>
      <c r="J20" s="4"/>
      <c r="K20" s="8"/>
      <c r="L20" s="5"/>
      <c r="M20" s="5"/>
    </row>
    <row r="21" spans="1:13">
      <c r="A21" s="1"/>
      <c r="B21" s="7"/>
      <c r="C21" s="1"/>
      <c r="D21" s="1"/>
      <c r="E21" s="1"/>
      <c r="F21" s="1"/>
      <c r="G21" s="5"/>
      <c r="H21" s="3"/>
      <c r="I21" s="4"/>
      <c r="J21" s="4"/>
      <c r="K21" s="8"/>
      <c r="L21" s="5"/>
      <c r="M21" s="5"/>
    </row>
    <row r="22" spans="1:13">
      <c r="A22" s="1"/>
      <c r="B22" s="7"/>
      <c r="C22" s="1"/>
      <c r="D22" s="1"/>
      <c r="E22" s="1"/>
      <c r="F22" s="1"/>
      <c r="G22" s="5"/>
      <c r="H22" s="3"/>
      <c r="I22" s="4"/>
      <c r="J22" s="4"/>
      <c r="K22" s="8"/>
      <c r="L22" s="5"/>
      <c r="M22" s="5"/>
    </row>
    <row r="23" spans="1:13">
      <c r="A23" s="1"/>
      <c r="B23" s="7"/>
      <c r="C23" s="1"/>
      <c r="D23" s="1"/>
      <c r="E23" s="1"/>
      <c r="F23" s="1"/>
      <c r="G23" s="5"/>
      <c r="H23" s="3"/>
      <c r="I23" s="4"/>
      <c r="J23" s="4"/>
      <c r="K23" s="8"/>
      <c r="L23" s="5"/>
      <c r="M23" s="5"/>
    </row>
    <row r="24" spans="1:13">
      <c r="A24" s="1"/>
      <c r="B24" s="7"/>
      <c r="C24" s="1"/>
      <c r="D24" s="1"/>
      <c r="E24" s="1"/>
      <c r="F24" s="1"/>
      <c r="G24" s="5"/>
      <c r="H24" s="3"/>
      <c r="I24" s="4"/>
      <c r="J24" s="4"/>
      <c r="K24" s="8"/>
      <c r="L24" s="5"/>
      <c r="M24" s="6"/>
    </row>
    <row r="25" spans="1:13">
      <c r="A25" s="1"/>
      <c r="B25" s="7"/>
      <c r="C25" s="1"/>
      <c r="D25" s="1"/>
      <c r="E25" s="1"/>
      <c r="F25" s="1"/>
      <c r="G25" s="5"/>
      <c r="H25" s="3"/>
      <c r="I25" s="4"/>
      <c r="J25" s="4"/>
      <c r="K25" s="8"/>
      <c r="L25" s="5"/>
      <c r="M25" s="5"/>
    </row>
    <row r="26" spans="1:13">
      <c r="A26" s="1"/>
      <c r="B26" s="7"/>
      <c r="C26" s="1"/>
      <c r="D26" s="1"/>
      <c r="E26" s="1"/>
      <c r="F26" s="1"/>
      <c r="G26" s="5"/>
      <c r="H26" s="3"/>
      <c r="I26" s="4"/>
      <c r="J26" s="4"/>
      <c r="K26" s="8"/>
      <c r="L26" s="5"/>
      <c r="M26" s="5"/>
    </row>
    <row r="27" spans="1:13">
      <c r="A27" s="1"/>
      <c r="B27" s="7"/>
      <c r="C27" s="1"/>
      <c r="D27" s="1"/>
      <c r="E27" s="1"/>
      <c r="F27" s="1"/>
      <c r="G27" s="5"/>
      <c r="H27" s="3"/>
      <c r="I27" s="4"/>
      <c r="J27" s="4"/>
      <c r="K27" s="8"/>
      <c r="L27" s="5"/>
      <c r="M27" s="5"/>
    </row>
    <row r="28" spans="1:13">
      <c r="A28" s="1"/>
      <c r="B28" s="7"/>
      <c r="C28" s="1"/>
      <c r="D28" s="1"/>
      <c r="E28" s="1"/>
      <c r="F28" s="1"/>
      <c r="G28" s="5"/>
      <c r="H28" s="3"/>
      <c r="I28" s="4"/>
      <c r="J28" s="4"/>
      <c r="K28" s="8"/>
      <c r="L28" s="5"/>
      <c r="M28" s="5"/>
    </row>
    <row r="29" spans="1:13">
      <c r="A29" s="1"/>
      <c r="B29" s="7"/>
      <c r="C29" s="1"/>
      <c r="D29" s="1"/>
      <c r="E29" s="1"/>
      <c r="F29" s="1"/>
      <c r="G29" s="5"/>
      <c r="H29" s="3"/>
      <c r="I29" s="4"/>
      <c r="J29" s="4"/>
      <c r="K29" s="8"/>
      <c r="L29" s="5"/>
      <c r="M29" s="5"/>
    </row>
    <row r="30" spans="1:13" s="1" customFormat="1">
      <c r="B30" s="7"/>
      <c r="G30" s="5"/>
      <c r="I30" s="4"/>
      <c r="J30" s="4"/>
      <c r="K30" s="8"/>
      <c r="L30" s="5"/>
      <c r="M30" s="5"/>
    </row>
    <row r="31" spans="1:13">
      <c r="A31" s="1"/>
      <c r="B31" s="9"/>
      <c r="C31" s="1"/>
      <c r="D31" s="1"/>
      <c r="E31" s="1"/>
      <c r="F31" s="1"/>
      <c r="G31" s="5"/>
      <c r="H31" s="3"/>
      <c r="I31" s="4"/>
      <c r="J31" s="4"/>
      <c r="K31" s="8"/>
      <c r="L31" s="5"/>
      <c r="M31" s="5"/>
    </row>
    <row r="32" spans="1:13">
      <c r="A32" s="1"/>
      <c r="B32" s="9"/>
      <c r="C32" s="1"/>
      <c r="D32" s="1"/>
      <c r="E32" s="1"/>
      <c r="F32" s="1"/>
      <c r="G32" s="5"/>
      <c r="H32" s="3"/>
      <c r="I32" s="4"/>
      <c r="J32" s="4"/>
      <c r="K32" s="8"/>
      <c r="L32" s="5"/>
      <c r="M32" s="5"/>
    </row>
    <row r="33" spans="1:13">
      <c r="A33" s="1"/>
      <c r="B33" s="9"/>
      <c r="C33" s="1"/>
      <c r="D33" s="1"/>
      <c r="E33" s="1"/>
      <c r="F33" s="1"/>
      <c r="G33" s="5"/>
      <c r="H33" s="3"/>
      <c r="I33" s="4"/>
      <c r="J33" s="4"/>
      <c r="K33" s="8"/>
      <c r="L33" s="5"/>
      <c r="M33" s="5"/>
    </row>
    <row r="34" spans="1:13">
      <c r="A34" s="1"/>
      <c r="B34" s="7"/>
      <c r="C34" s="1"/>
      <c r="D34" s="1"/>
      <c r="E34" s="1"/>
      <c r="F34" s="1"/>
      <c r="G34" s="5"/>
      <c r="H34" s="3"/>
      <c r="I34" s="4"/>
      <c r="J34" s="4"/>
      <c r="K34" s="8"/>
      <c r="L34" s="5"/>
      <c r="M34" s="5"/>
    </row>
    <row r="35" spans="1:13">
      <c r="A35" s="1"/>
      <c r="B35" s="9"/>
      <c r="C35" s="1"/>
      <c r="D35" s="1"/>
      <c r="E35" s="1"/>
      <c r="F35" s="1"/>
      <c r="G35" s="5"/>
      <c r="H35" s="3"/>
      <c r="I35" s="4"/>
      <c r="J35" s="4"/>
      <c r="K35" s="8"/>
      <c r="L35" s="5"/>
      <c r="M35" s="5"/>
    </row>
    <row r="36" spans="1:13">
      <c r="A36" s="1"/>
      <c r="B36" s="9"/>
      <c r="C36" s="1"/>
      <c r="D36" s="1"/>
      <c r="E36" s="1"/>
      <c r="F36" s="1"/>
      <c r="G36" s="5"/>
      <c r="H36" s="3"/>
      <c r="I36" s="4"/>
      <c r="J36" s="4"/>
      <c r="K36" s="8"/>
      <c r="L36" s="5"/>
      <c r="M36" s="5"/>
    </row>
    <row r="37" spans="1:13" s="1" customFormat="1">
      <c r="B37" s="7"/>
      <c r="G37" s="5"/>
      <c r="H37" s="3"/>
      <c r="I37" s="4"/>
      <c r="J37" s="4"/>
      <c r="K37" s="8"/>
      <c r="L37" s="6"/>
      <c r="M37" s="6"/>
    </row>
    <row r="38" spans="1:13" s="1" customFormat="1">
      <c r="B38" s="7"/>
      <c r="G38" s="5"/>
      <c r="I38" s="4"/>
      <c r="J38" s="4"/>
      <c r="K38" s="8"/>
      <c r="L38" s="6"/>
      <c r="M38" s="6"/>
    </row>
    <row r="39" spans="1:13" s="1" customFormat="1">
      <c r="B39" s="7"/>
      <c r="G39" s="5"/>
      <c r="I39" s="4"/>
      <c r="J39" s="4"/>
      <c r="K39" s="8"/>
      <c r="L39" s="6"/>
    </row>
    <row r="40" spans="1:13" s="1" customFormat="1">
      <c r="B40" s="7"/>
      <c r="G40" s="5"/>
      <c r="I40" s="4"/>
      <c r="J40" s="4"/>
      <c r="K40" s="8"/>
      <c r="L40" s="6"/>
      <c r="M40" s="6"/>
    </row>
    <row r="41" spans="1:13" s="1" customFormat="1">
      <c r="B41" s="7"/>
      <c r="G41" s="5"/>
      <c r="I41" s="4"/>
      <c r="J41" s="4"/>
      <c r="K41" s="8"/>
      <c r="L41" s="6"/>
      <c r="M41" s="6"/>
    </row>
    <row r="42" spans="1:13" s="1" customFormat="1">
      <c r="B42" s="7"/>
      <c r="I42" s="4"/>
      <c r="J42" s="4"/>
      <c r="K42" s="8"/>
      <c r="L42" s="6"/>
      <c r="M42" s="6"/>
    </row>
    <row r="43" spans="1:13" s="1" customFormat="1">
      <c r="B43" s="7"/>
      <c r="G43" s="5"/>
      <c r="I43" s="4"/>
      <c r="J43" s="4"/>
      <c r="K43" s="8"/>
      <c r="L43" s="6"/>
      <c r="M43" s="6"/>
    </row>
    <row r="44" spans="1:13" s="1" customFormat="1">
      <c r="B44" s="7"/>
      <c r="I44" s="4"/>
      <c r="J44" s="4"/>
      <c r="K44" s="8"/>
      <c r="L44" s="6"/>
      <c r="M44" s="6"/>
    </row>
    <row r="45" spans="1:13" s="1" customFormat="1">
      <c r="B45" s="7"/>
      <c r="G45" s="5"/>
      <c r="I45" s="4"/>
      <c r="J45" s="4"/>
      <c r="K45" s="8"/>
      <c r="L45" s="6"/>
      <c r="M45" s="6"/>
    </row>
    <row r="46" spans="1:13" s="1" customFormat="1">
      <c r="B46" s="7"/>
      <c r="G46" s="5"/>
      <c r="I46" s="4"/>
      <c r="J46" s="4"/>
      <c r="L46" s="6"/>
      <c r="M46" s="6"/>
    </row>
    <row r="47" spans="1:13" s="1" customFormat="1">
      <c r="B47" s="7"/>
      <c r="G47" s="13"/>
      <c r="I47" s="4"/>
      <c r="J47" s="4"/>
      <c r="L47" s="6"/>
      <c r="M47" s="6"/>
    </row>
    <row r="48" spans="1:13" s="1" customFormat="1">
      <c r="B48" s="7"/>
      <c r="G48" s="5"/>
      <c r="I48" s="4"/>
      <c r="J48" s="4"/>
      <c r="K48" s="6"/>
      <c r="L48" s="6"/>
      <c r="M48" s="6"/>
    </row>
    <row r="49" spans="2:17" s="1" customFormat="1">
      <c r="B49" s="7"/>
      <c r="I49" s="4"/>
      <c r="J49" s="4"/>
      <c r="K49" s="6"/>
      <c r="L49" s="6"/>
      <c r="M49" s="6"/>
    </row>
    <row r="50" spans="2:17" s="1" customFormat="1">
      <c r="B50" s="7"/>
      <c r="G50" s="5"/>
      <c r="I50" s="4"/>
      <c r="J50" s="4"/>
      <c r="K50" s="6"/>
      <c r="L50" s="6"/>
      <c r="M50" s="6"/>
    </row>
    <row r="51" spans="2:17" s="1" customFormat="1">
      <c r="B51" s="7"/>
      <c r="G51" s="5"/>
      <c r="I51" s="4"/>
      <c r="J51" s="4"/>
      <c r="K51" s="6"/>
      <c r="L51" s="6"/>
      <c r="M51" s="6"/>
    </row>
    <row r="52" spans="2:17">
      <c r="G52" s="5"/>
    </row>
    <row r="53" spans="2:17">
      <c r="M53" s="4"/>
      <c r="N53" s="4"/>
      <c r="O53" s="12"/>
      <c r="P53" s="6"/>
      <c r="Q53" s="6"/>
    </row>
  </sheetData>
  <mergeCells count="1">
    <mergeCell ref="A1:M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F9" sqref="F9"/>
    </sheetView>
  </sheetViews>
  <sheetFormatPr baseColWidth="10" defaultRowHeight="15"/>
  <cols>
    <col min="1" max="1" width="21.42578125" bestFit="1" customWidth="1"/>
    <col min="2" max="2" width="48" bestFit="1" customWidth="1"/>
    <col min="3" max="3" width="21.42578125" bestFit="1" customWidth="1"/>
  </cols>
  <sheetData>
    <row r="1" spans="1:3">
      <c r="C1" s="9">
        <v>44631</v>
      </c>
    </row>
    <row r="2" spans="1:3">
      <c r="A2" s="3" t="s">
        <v>38</v>
      </c>
      <c r="B2" s="3" t="s">
        <v>128</v>
      </c>
      <c r="C2" s="4" t="s">
        <v>129</v>
      </c>
    </row>
    <row r="3" spans="1:3" s="10" customFormat="1">
      <c r="A3" s="10" t="s">
        <v>130</v>
      </c>
      <c r="B3" s="10" t="s">
        <v>131</v>
      </c>
      <c r="C3" s="11">
        <v>13.3346</v>
      </c>
    </row>
    <row r="4" spans="1:3" s="10" customFormat="1">
      <c r="A4" s="10">
        <v>90031315</v>
      </c>
      <c r="B4" s="10" t="s">
        <v>132</v>
      </c>
      <c r="C4" s="11">
        <v>9.8087999999999997</v>
      </c>
    </row>
    <row r="5" spans="1:3" s="10" customFormat="1">
      <c r="A5" s="10" t="s">
        <v>133</v>
      </c>
      <c r="B5" s="10" t="s">
        <v>134</v>
      </c>
      <c r="C5" s="11">
        <v>8.8572000000000006</v>
      </c>
    </row>
    <row r="6" spans="1:3" s="10" customFormat="1">
      <c r="A6" s="10">
        <v>90030950</v>
      </c>
      <c r="B6" s="10" t="s">
        <v>135</v>
      </c>
      <c r="C6" s="11">
        <v>13.4688</v>
      </c>
    </row>
    <row r="7" spans="1:3" s="10" customFormat="1">
      <c r="A7" s="10">
        <v>90030847</v>
      </c>
      <c r="B7" s="10" t="s">
        <v>136</v>
      </c>
      <c r="C7" s="11">
        <v>9.2110000000000003</v>
      </c>
    </row>
    <row r="8" spans="1:3" s="10" customFormat="1">
      <c r="A8" s="10">
        <v>70040616</v>
      </c>
      <c r="B8" s="10" t="s">
        <v>137</v>
      </c>
      <c r="C8" s="11">
        <v>7.8568000000000007</v>
      </c>
    </row>
    <row r="9" spans="1:3" s="10" customFormat="1">
      <c r="B9" s="10" t="s">
        <v>138</v>
      </c>
      <c r="C9" s="11">
        <v>9.6013999999999999</v>
      </c>
    </row>
    <row r="10" spans="1:3" s="10" customFormat="1">
      <c r="A10" s="10" t="s">
        <v>139</v>
      </c>
      <c r="B10" s="10" t="s">
        <v>140</v>
      </c>
      <c r="C10" s="11">
        <v>0.84179999999999999</v>
      </c>
    </row>
    <row r="11" spans="1:3" s="10" customFormat="1">
      <c r="A11" s="10">
        <v>90030677</v>
      </c>
      <c r="B11" s="10" t="s">
        <v>141</v>
      </c>
      <c r="C11" s="11">
        <v>1.22</v>
      </c>
    </row>
    <row r="12" spans="1:3" s="10" customFormat="1">
      <c r="A12" s="10">
        <v>70010043</v>
      </c>
      <c r="B12" s="10" t="s">
        <v>142</v>
      </c>
      <c r="C12" s="11">
        <v>13.24</v>
      </c>
    </row>
    <row r="13" spans="1:3" s="10" customFormat="1">
      <c r="A13" s="10">
        <v>70010046</v>
      </c>
      <c r="B13" s="10" t="s">
        <v>143</v>
      </c>
      <c r="C13" s="10">
        <v>17.36</v>
      </c>
    </row>
    <row r="14" spans="1:3" s="10" customFormat="1">
      <c r="A14" s="10" t="s">
        <v>144</v>
      </c>
      <c r="B14" s="10" t="s">
        <v>145</v>
      </c>
      <c r="C14" s="11">
        <v>26.35</v>
      </c>
    </row>
    <row r="15" spans="1:3" s="10" customFormat="1">
      <c r="A15" s="10">
        <v>70050449</v>
      </c>
      <c r="B15" s="10" t="s">
        <v>146</v>
      </c>
      <c r="C15" s="11">
        <v>0.52</v>
      </c>
    </row>
    <row r="16" spans="1:3" s="10" customFormat="1">
      <c r="A16" s="10" t="s">
        <v>147</v>
      </c>
      <c r="B16" s="10" t="s">
        <v>148</v>
      </c>
      <c r="C16" s="11">
        <v>5.98</v>
      </c>
    </row>
    <row r="17" spans="1:3" s="10" customFormat="1">
      <c r="A17" s="10" t="s">
        <v>149</v>
      </c>
      <c r="B17" s="10" t="s">
        <v>150</v>
      </c>
      <c r="C17" s="11">
        <v>9.2100000000000009</v>
      </c>
    </row>
    <row r="18" spans="1:3" s="10" customFormat="1">
      <c r="A18" s="10" t="s">
        <v>151</v>
      </c>
      <c r="B18" s="10" t="s">
        <v>152</v>
      </c>
      <c r="C18" s="11">
        <v>85.924599999999998</v>
      </c>
    </row>
    <row r="19" spans="1:3" s="10" customFormat="1" ht="14.25" customHeight="1">
      <c r="A19" s="10" t="s">
        <v>153</v>
      </c>
      <c r="B19" s="10" t="s">
        <v>154</v>
      </c>
      <c r="C19" s="11">
        <v>44.627600000000001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Accesorios</vt:lpstr>
      <vt:lpstr>Consumibles</vt:lpstr>
      <vt:lpstr>Aberturas Madera</vt:lpstr>
      <vt:lpstr>OTROS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DyK</dc:creator>
  <cp:lastModifiedBy>Diego</cp:lastModifiedBy>
  <dcterms:created xsi:type="dcterms:W3CDTF">2017-05-04T14:39:46Z</dcterms:created>
  <dcterms:modified xsi:type="dcterms:W3CDTF">2025-03-17T15:00:43Z</dcterms:modified>
</cp:coreProperties>
</file>